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_rels/workbook.xml.rels" ContentType="application/vnd.openxmlformats-package.relationships+xml"/>
  <Override PartName="/xl/comments4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o usar" sheetId="1" state="visible" r:id="rId3"/>
    <sheet name="Configuração" sheetId="2" state="visible" r:id="rId4"/>
    <sheet name="Cartão de ponto" sheetId="3" state="visible" r:id="rId5"/>
    <sheet name="Equipe" sheetId="4" state="visible" r:id="rId6"/>
    <sheet name="Banco de horas" sheetId="5" state="visible" r:id="rId7"/>
  </sheets>
  <definedNames>
    <definedName function="false" hidden="false" localSheetId="4" name="_xlnm.Print_Area" vbProcedure="false">'Banco de horas'!$A$1:$P$60</definedName>
    <definedName function="false" hidden="false" localSheetId="2" name="_xlnm.Print_Area" vbProcedure="false">'Cartão de ponto'!$A$1:$V$62</definedName>
    <definedName function="false" hidden="false" localSheetId="2" name="_xlnm.Print_Titles" vbProcedure="false">'Cartão de ponto'!$9:$10</definedName>
    <definedName function="false" hidden="false" localSheetId="3" name="_xlnm.Print_Area" vbProcedure="false">Equipe!$A$1:$O$58</definedName>
    <definedName function="false" hidden="false" name="Ano" vbProcedure="false">Configuração!$C$7</definedName>
    <definedName function="false" hidden="false" name="DataRef" vbProcedure="false">Configuração!$C$24</definedName>
    <definedName function="false" hidden="false" name="DiasDescanso" vbProcedure="false">Configuração!$C$28</definedName>
    <definedName function="false" hidden="false" name="DiasUteis" vbProcedure="false">Configuração!$C$27</definedName>
    <definedName function="false" hidden="false" name="Empresa" vbProcedure="false">Configuração!$C$5</definedName>
    <definedName function="false" hidden="false" name="Feriados" vbProcedure="false">Configuração!$B$32:$B$66</definedName>
    <definedName function="false" hidden="false" name="FimMes" vbProcedure="false">Configuração!$C$9</definedName>
    <definedName function="false" hidden="false" name="HoraReduzida" vbProcedure="false">Configuração!$C$17</definedName>
    <definedName function="false" hidden="false" name="InicioMes" vbProcedure="false">Configuração!$C$8</definedName>
    <definedName function="false" hidden="false" name="LimiteHE1" vbProcedure="false">Configuração!$C$13</definedName>
    <definedName function="false" hidden="false" name="Mes" vbProcedure="false">Configuração!$C$6</definedName>
    <definedName function="false" hidden="false" name="PctHE1" vbProcedure="false">Configuração!$C$12</definedName>
    <definedName function="false" hidden="false" name="PctHE100" vbProcedure="false">Configuração!$C$15</definedName>
    <definedName function="false" hidden="false" name="PctHE2" vbProcedure="false">Configuração!$C$14</definedName>
    <definedName function="false" hidden="false" name="PctInterjornada" vbProcedure="false">Configuração!$C$20</definedName>
    <definedName function="false" hidden="false" name="PctIntervalo" vbProcedure="false">Configuração!$C$19</definedName>
    <definedName function="false" hidden="false" name="PctNot" vbProcedure="false">Configuração!$C$16</definedName>
    <definedName function="false" hidden="false" name="PrazoBanco" vbProcedure="false">Configuração!$C$23</definedName>
    <definedName function="false" hidden="false" name="Tolerancia" vbProcedure="false">Configuração!$C$18</definedName>
    <definedName function="false" hidden="false" name="TolIntervalo" vbProcedure="false">Configuração!$C$21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7" authorId="0">
      <text>
        <r>
          <rPr>
            <sz val="10"/>
            <rFont val="Arial"/>
            <family val="2"/>
          </rPr>
          <t xml:space="preserve">Adicionais fixos que entram no valor da hora: periculosidade, insalubridade e outros adicionais fixos que integram o valor da hora extra (Súmula 264 do TST). Deixe 0 se não houver.</t>
        </r>
      </text>
    </comment>
    <comment ref="C10" authorId="0">
      <text>
        <r>
          <rPr>
            <sz val="10"/>
            <rFont val="Arial"/>
            <family val="2"/>
          </rPr>
          <t xml:space="preserve">Deixe em branco em dia normal. Use a lista para falta, atestado, férias, folga, feriado, compensação ou trabalho em escala.</t>
        </r>
      </text>
    </comment>
    <comment ref="H5" authorId="0">
      <text>
        <r>
          <rPr>
            <sz val="10"/>
            <rFont val="Arial"/>
            <family val="2"/>
          </rPr>
          <t xml:space="preserve">Jornada semanal × 5 (44h = 220, 40h = 200, 36h = 180). Se a convenção definir outro divisor, digite por cima.</t>
        </r>
      </text>
    </comment>
    <comment ref="H7" authorId="0">
      <text>
        <r>
          <rPr>
            <sz val="10"/>
            <rFont val="Arial"/>
            <family val="2"/>
          </rPr>
          <t xml:space="preserve">Sim: o funcionário marca saída e volta do almoço (4 marcações). Não: o intervalo é pré-assinalado e só há entrada e saída; a planilha desconta o intervalo informado em S7.</t>
        </r>
      </text>
    </comment>
    <comment ref="K10" authorId="0">
      <text>
        <r>
          <rPr>
            <sz val="10"/>
            <rFont val="Arial"/>
            <family val="2"/>
          </rPr>
          <t xml:space="preserve">Tempo de relógio entre as marcações.</t>
        </r>
      </text>
    </comment>
    <comment ref="L7" authorId="0">
      <text>
        <r>
          <rPr>
            <sz val="10"/>
            <rFont val="Arial"/>
            <family val="2"/>
          </rPr>
          <t xml:space="preserve">Usada quando o funcionário trabalha num domingo ou feriado como dia normal de escala (ocorrência 'Trabalho em escala').</t>
        </r>
      </text>
    </comment>
    <comment ref="L10" authorId="0">
      <text>
        <r>
          <rPr>
            <sz val="10"/>
            <rFont val="Arial"/>
            <family val="2"/>
          </rPr>
          <t xml:space="preserve">Trabalhadas + acréscimo da hora noturna reduzida. É esse total que é comparado com a jornada prevista.</t>
        </r>
      </text>
    </comment>
    <comment ref="M10" authorId="0">
      <text>
        <r>
          <rPr>
            <sz val="10"/>
            <rFont val="Arial"/>
            <family val="2"/>
          </rPr>
          <t xml:space="preserve">Jornada do dia conforme a tabela acima. Zero em domingo, feriado, folga e dias abonados.</t>
        </r>
      </text>
    </comment>
    <comment ref="N10" authorId="0">
      <text>
        <r>
          <rPr>
            <sz val="10"/>
            <rFont val="Arial"/>
            <family val="2"/>
          </rPr>
          <t xml:space="preserve">Horas além da jornada prevista em dia útil, até o limite da faixa 1.</t>
        </r>
      </text>
    </comment>
    <comment ref="O10" authorId="0">
      <text>
        <r>
          <rPr>
            <sz val="10"/>
            <rFont val="Arial"/>
            <family val="2"/>
          </rPr>
          <t xml:space="preserve">Horas extras do dia acima do limite da faixa 1.</t>
        </r>
      </text>
    </comment>
    <comment ref="P10" authorId="0">
      <text>
        <r>
          <rPr>
            <sz val="10"/>
            <rFont val="Arial"/>
            <family val="2"/>
          </rPr>
          <t xml:space="preserve">Todas as horas trabalhadas em domingo, feriado ou folga.</t>
        </r>
      </text>
    </comment>
    <comment ref="Q10" authorId="0">
      <text>
        <r>
          <rPr>
            <sz val="10"/>
            <rFont val="Arial"/>
            <family val="2"/>
          </rPr>
          <t xml:space="preserve">Horas entre 22h e 5h, já com a hora reduzida (se ativada).</t>
        </r>
      </text>
    </comment>
    <comment ref="R10" authorId="0">
      <text>
        <r>
          <rPr>
            <sz val="10"/>
            <rFont val="Arial"/>
            <family val="2"/>
          </rPr>
          <t xml:space="preserve">Parte das horas extras feitas no horário noturno. Recebem o adicional noturno sobre a hora extra (OJ 97 da SDI-1 do TST).</t>
        </r>
      </text>
    </comment>
    <comment ref="S10" authorId="0">
      <text>
        <r>
          <rPr>
            <sz val="10"/>
            <rFont val="Arial"/>
            <family val="2"/>
          </rPr>
          <t xml:space="preserve">Atrasos, saídas antecipadas e faltas além da tolerância. Dias depois da data de referência (Configuração) sem marcação ainda não contam.</t>
        </r>
      </text>
    </comment>
    <comment ref="T10" authorId="0">
      <text>
        <r>
          <rPr>
            <sz val="10"/>
            <rFont val="Arial"/>
            <family val="2"/>
          </rPr>
          <t xml:space="preserve">Tempo que faltou para o intervalo mínimo: 1h para jornada acima de 6h; 15 min entre 4h e 6h. Reduções dentro da tolerância (Configuração) não contam.</t>
        </r>
      </text>
    </comment>
    <comment ref="U10" authorId="0">
      <text>
        <r>
          <rPr>
            <sz val="10"/>
            <rFont val="Arial"/>
            <family val="2"/>
          </rPr>
          <t xml:space="preserve">Horas que faltaram para 11h de descanso entre a saída do dia anterior e a entrada do dia.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J4" authorId="0">
      <text>
        <r>
          <rPr>
            <sz val="10"/>
            <rFont val="Arial"/>
            <family val="2"/>
          </rPr>
          <t xml:space="preserve">Horas entre 22h e 5h já com a hora reduzida (como aparecem no espelho de ponto).</t>
        </r>
      </text>
    </comment>
    <comment ref="K4" authorId="0">
      <text>
        <r>
          <rPr>
            <sz val="10"/>
            <rFont val="Arial"/>
            <family val="2"/>
          </rPr>
          <t xml:space="preserve">Das horas extras, quantas foram no horário noturno. Se não souber, deixe em branco.</t>
        </r>
      </text>
    </comment>
  </commentList>
</comments>
</file>

<file path=xl/sharedStrings.xml><?xml version="1.0" encoding="utf-8"?>
<sst xmlns="http://schemas.openxmlformats.org/spreadsheetml/2006/main" count="272" uniqueCount="223">
  <si>
    <t xml:space="preserve">Planilha de cálculo de horas extras</t>
  </si>
  <si>
    <t xml:space="preserve">Horas extras, adicional noturno, DSR, intervalos e banco de horas, com as regras da CLT. Por Impacto Tecnologia.</t>
  </si>
  <si>
    <t xml:space="preserve">O que tem em cada aba</t>
  </si>
  <si>
    <t xml:space="preserve">Configuração</t>
  </si>
  <si>
    <t xml:space="preserve">Mês de referência, percentuais da convenção coletiva, tolerância, prazo do banco de horas e feriados. Preencha uma vez por mês.</t>
  </si>
  <si>
    <t xml:space="preserve">Cartão de ponto</t>
  </si>
  <si>
    <t xml:space="preserve">Um funcionário por aba. Digite as marcações do dia e a planilha calcula horas trabalhadas, extras, noturnas, faltas, intervalos e o resumo do mês em reais, com o DSR.</t>
  </si>
  <si>
    <t xml:space="preserve">Equipe</t>
  </si>
  <si>
    <t xml:space="preserve">Para quem já tem o total de horas de cada pessoa. Lance as horas do mês e veja o valor de horas extras, adicional noturno e DSR de toda a equipe.</t>
  </si>
  <si>
    <t xml:space="preserve">Banco de horas</t>
  </si>
  <si>
    <t xml:space="preserve">Lance créditos e débitos. A planilha mostra o saldo de cada pessoa, o que já venceu (e precisa ser pago) e o que vence nos próximos 30 dias.</t>
  </si>
  <si>
    <t xml:space="preserve">Passo a passo</t>
  </si>
  <si>
    <t xml:space="preserve">1. Configure o mês</t>
  </si>
  <si>
    <t xml:space="preserve">Na aba Configuração, escolha o mês e o ano, confira os percentuais da sua convenção coletiva e inclua os feriados da sua cidade.</t>
  </si>
  <si>
    <t xml:space="preserve">2. Dados do funcionário</t>
  </si>
  <si>
    <t xml:space="preserve">No Cartão de ponto, preencha nome, salário, jornada semanal e a jornada prevista de cada dia da semana (00:00 nos dias de folga).</t>
  </si>
  <si>
    <t xml:space="preserve">3. Digite as marcações</t>
  </si>
  <si>
    <t xml:space="preserve">Digite os horários no formato 08:00. Use até 3 pares de entrada e saída por dia. Turno que passa da meia-noite pode ser digitado normalmente (ex.: 22:00 e 06:00).</t>
  </si>
  <si>
    <t xml:space="preserve">4. Marque as ocorrências</t>
  </si>
  <si>
    <t xml:space="preserve">Falta, atestado, férias, folga, feriado, compensação ou trabalho em escala. Em dia normal, deixe em branco.</t>
  </si>
  <si>
    <t xml:space="preserve">5. Confira os alertas</t>
  </si>
  <si>
    <t xml:space="preserve">A coluna Alertas avisa marcação incompleta, intervalo curto, descanso menor que 11h e mais de 2h extras no dia.</t>
  </si>
  <si>
    <t xml:space="preserve">6. Veja o resumo</t>
  </si>
  <si>
    <t xml:space="preserve">Abaixo do cartão, o resumo mostra quanto pagar de cada verba, já com o reflexo no DSR.</t>
  </si>
  <si>
    <t xml:space="preserve">Outro funcionário</t>
  </si>
  <si>
    <t xml:space="preserve">Clique com o botão direito na aba 'Cartão de ponto' &gt; Mover ou copiar &gt; marque 'Criar uma cópia'. Cada cópia é um funcionário.</t>
  </si>
  <si>
    <t xml:space="preserve">Mês novo</t>
  </si>
  <si>
    <t xml:space="preserve">Duplique o arquivo, troque o mês na Configuração e apague as marcações (colunas C a I do cartão).</t>
  </si>
  <si>
    <t xml:space="preserve">Legenda</t>
  </si>
  <si>
    <t xml:space="preserve">Célula amarela</t>
  </si>
  <si>
    <t xml:space="preserve">Você preenche. As demais são calculadas: não apague as fórmulas.</t>
  </si>
  <si>
    <t xml:space="preserve">Linha azul-clara</t>
  </si>
  <si>
    <t xml:space="preserve">Domingo, feriado ou folga: as horas trabalhadas contam com o adicional de domingo/feriado.</t>
  </si>
  <si>
    <t xml:space="preserve">Linha cinza</t>
  </si>
  <si>
    <t xml:space="preserve">Dia abonado (atestado, férias ou compensação): sem jornada prevista e sem desconto.</t>
  </si>
  <si>
    <t xml:space="preserve">Exemplo</t>
  </si>
  <si>
    <t xml:space="preserve">As abas vêm com um exemplo preenchido (Maria Exemplo, outubro de 2026) para você ver os cálculos funcionando. Apague e use com os seus dados.</t>
  </si>
  <si>
    <t xml:space="preserve">Regras usadas nos cálculos</t>
  </si>
  <si>
    <t xml:space="preserve">Hora extra</t>
  </si>
  <si>
    <t xml:space="preserve">Adicional mínimo de 50% (Constituição, art. 7º, XVI). Limite de 2 horas extras por dia (CLT, art. 59). A convenção pode prever percentuais maiores.</t>
  </si>
  <si>
    <t xml:space="preserve">Domingo e feriado</t>
  </si>
  <si>
    <t xml:space="preserve">Trabalho sem folga compensatória é pago em dobro (Lei 605/49, art. 9º; Súmula 146 do TST).</t>
  </si>
  <si>
    <t xml:space="preserve">Adicional noturno</t>
  </si>
  <si>
    <t xml:space="preserve">Mínimo de 20% entre 22h e 5h, com hora noturna de 52min30s (CLT, art. 73). A hora extra noturna recebe os dois adicionais (OJ 97 da SDI-1 do TST). A prorrogação após as 5h de quem cumpre a jornada noturna inteira (Súmula 60 do TST) não é aplicada automaticamente.</t>
  </si>
  <si>
    <t xml:space="preserve">Tolerância</t>
  </si>
  <si>
    <t xml:space="preserve">Até 5 min por marcação e 10 min por dia não contam como extra nem como atraso (CLT, art. 58, §1º; Súmula 366 do TST).</t>
  </si>
  <si>
    <t xml:space="preserve">DSR</t>
  </si>
  <si>
    <t xml:space="preserve">Horas extras e adicional noturno habituais refletem no descanso semanal: valor do mês ÷ dias úteis × domingos e feriados (Súmula 172 do TST; Lei 605/49).</t>
  </si>
  <si>
    <t xml:space="preserve">Intervalo de almoço</t>
  </si>
  <si>
    <t xml:space="preserve">1h para jornada acima de 6h; 15 min entre 4h e 6h. O tempo suprimido é pago com 50%, com natureza indenizatória (CLT, art. 71, §4º).</t>
  </si>
  <si>
    <t xml:space="preserve">Descanso entre jornadas</t>
  </si>
  <si>
    <t xml:space="preserve">Mínimo de 11h entre dois dias de trabalho. As horas que faltarem são pagas como extras (CLT, art. 66; OJ 355 da SDI-1 do TST).</t>
  </si>
  <si>
    <t xml:space="preserve">Valor da hora</t>
  </si>
  <si>
    <t xml:space="preserve">(Salário + adicionais fixos como periculosidade e insalubridade) ÷ divisor. Divisor = jornada semanal × 5 (Súmula 264 do TST).</t>
  </si>
  <si>
    <t xml:space="preserve">Compensação em até 6 meses por acordo individual escrito, ou até 12 meses por acordo ou convenção coletiva. O que vencer é pago como extra (CLT, art. 59, §§2º, 3º e 5º).</t>
  </si>
  <si>
    <t xml:space="preserve">Planilha orientativa com base nas regras gerais da CLT e na jurisprudência do TST. A convenção coletiva da sua categoria pode prever regras próprias, que prevalecem. Não substitui a análise do seu contador ou advogado.</t>
  </si>
  <si>
    <t xml:space="preserve">Cansado de digitar marcações todo mês?</t>
  </si>
  <si>
    <t xml:space="preserve">Um sistema de ponto faz tudo isso sozinho: lê as marcações, calcula horas extras, adicional noturno, DSR e banco de horas, gera o espelho de ponto e manda os dados para a folha. A Impacto Tecnologia implanta e dá suporte ao sistema de ponto da sua empresa, do relógio ao fechamento.</t>
  </si>
  <si>
    <t xml:space="preserve">Falar com a Impacto</t>
  </si>
  <si>
    <t xml:space="preserve">impactotecnologia.com.br · (27) 3227-8183</t>
  </si>
  <si>
    <t xml:space="preserve">Checklist de fechamento</t>
  </si>
  <si>
    <t xml:space="preserve">Confira os 15 itens que todo fechamento de ponto precisa cobrir</t>
  </si>
  <si>
    <t xml:space="preserve">Calculadora de passivo</t>
  </si>
  <si>
    <t xml:space="preserve">Quanto sua empresa pode pagar num processo trabalhista por horas extras e intervalos</t>
  </si>
  <si>
    <t xml:space="preserve">Preencha uma vez por mês. As outras abas usam estes valores. Células amarelas são para você preencher.</t>
  </si>
  <si>
    <t xml:space="preserve">Empresa e mês</t>
  </si>
  <si>
    <t xml:space="preserve">Empresa</t>
  </si>
  <si>
    <t xml:space="preserve">Sua empresa</t>
  </si>
  <si>
    <t xml:space="preserve">Aparece no cabeçalho do cartão de ponto.</t>
  </si>
  <si>
    <t xml:space="preserve">Mês de referência (1 a 12)</t>
  </si>
  <si>
    <t xml:space="preserve">Troque todo mês. O cartão de ponto monta os dias sozinho.</t>
  </si>
  <si>
    <t xml:space="preserve">Ano</t>
  </si>
  <si>
    <t xml:space="preserve">Primeiro dia do mês</t>
  </si>
  <si>
    <t xml:space="preserve">Calculado.</t>
  </si>
  <si>
    <t xml:space="preserve">Último dia do mês</t>
  </si>
  <si>
    <t xml:space="preserve">Percentuais e regras (confira a convenção coletiva da sua categoria)</t>
  </si>
  <si>
    <t xml:space="preserve">Adicional de hora extra (faixa 1)</t>
  </si>
  <si>
    <t xml:space="preserve">Mínimo de 50% (Constituição, art. 7º, XVI). A convenção coletiva pode prever mais.</t>
  </si>
  <si>
    <t xml:space="preserve">Faixa 1 vale até quantas horas extras por dia</t>
  </si>
  <si>
    <t xml:space="preserve">Muitas convenções pagam um % maior a partir da 3ª hora extra do dia. Se a sua não prevê, deixe o mesmo % na faixa 2.</t>
  </si>
  <si>
    <t xml:space="preserve">Adicional de hora extra (faixa 2, acima do limite)</t>
  </si>
  <si>
    <t xml:space="preserve">Use o % da convenção para as horas além da faixa 1. Sem previsão, repita o % da faixa 1.</t>
  </si>
  <si>
    <t xml:space="preserve">Adicional em domingo ou feriado trabalhado</t>
  </si>
  <si>
    <t xml:space="preserve">Trabalho em feriado ou no descanso semanal sem folga compensatória é pago em dobro (Lei 605/49, art. 9º; Súmula 146 do TST).</t>
  </si>
  <si>
    <t xml:space="preserve">Mínimo de 20% sobre a hora diurna, para trabalho entre 22h e 5h (CLT, art. 73). Vale para trabalhador urbano.</t>
  </si>
  <si>
    <t xml:space="preserve">Aplicar hora noturna reduzida (52min30s)?</t>
  </si>
  <si>
    <t xml:space="preserve">Sim</t>
  </si>
  <si>
    <t xml:space="preserve">Cada hora noturna conta como 52 minutos e 30 segundos (CLT, art. 73, §1º). Na prática, 7 horas de relógio viram 8 horas.</t>
  </si>
  <si>
    <t xml:space="preserve">Tolerância diária</t>
  </si>
  <si>
    <t xml:space="preserve">Variações de até 5 min por marcação, no máximo 10 min por dia, não contam (CLT, art. 58, §1º). Passou disso, conta o tempo todo.</t>
  </si>
  <si>
    <t xml:space="preserve">Adicional do intervalo de almoço suprimido</t>
  </si>
  <si>
    <t xml:space="preserve">Paga só o tempo que faltou do intervalo, com 50% (CLT, art. 71, §4º). Natureza indenizatória: não reflete no DSR.</t>
  </si>
  <si>
    <t xml:space="preserve">Adicional do descanso entre jornadas suprimido</t>
  </si>
  <si>
    <t xml:space="preserve">As horas que faltarem para 11h de descanso entre um dia e outro são pagas como extras (CLT, art. 66; OJ 355 da SDI-1 do TST).</t>
  </si>
  <si>
    <t xml:space="preserve">Tolerância no intervalo de almoço</t>
  </si>
  <si>
    <t xml:space="preserve">Redução de até 5 min no intervalo não gera pagamento, pela jurisprudência do TST (aplicação do art. 58, §1º, da CLT). Passou disso, paga o tempo que faltou.</t>
  </si>
  <si>
    <t xml:space="preserve">Prazo para compensar (meses)</t>
  </si>
  <si>
    <t xml:space="preserve">Acordo individual escrito: até 6 meses (CLT, art. 59, §5º). Acordo ou convenção coletiva: até 12 meses (art. 59, §2º).</t>
  </si>
  <si>
    <t xml:space="preserve">Data de referência</t>
  </si>
  <si>
    <t xml:space="preserve">Usada para ver o que já venceu no banco de horas. Pode trocar por uma data fixa (ex.: o último dia do mês).</t>
  </si>
  <si>
    <t xml:space="preserve">Calendário do mês (calculado)</t>
  </si>
  <si>
    <t xml:space="preserve">Dias úteis no mês</t>
  </si>
  <si>
    <t xml:space="preserve">Para o DSR, sábado conta como dia útil. Feriados da lista abaixo saem da conta.</t>
  </si>
  <si>
    <t xml:space="preserve">Domingos e feriados no mês</t>
  </si>
  <si>
    <t xml:space="preserve">Usado no reflexo das horas extras e do adicional noturno no DSR.</t>
  </si>
  <si>
    <t xml:space="preserve">Feriados (inclua os estaduais e municipais da sua cidade)</t>
  </si>
  <si>
    <t xml:space="preserve">Dias do mês (calculado)</t>
  </si>
  <si>
    <t xml:space="preserve">Data</t>
  </si>
  <si>
    <t xml:space="preserve">Feriado</t>
  </si>
  <si>
    <t xml:space="preserve">Dia</t>
  </si>
  <si>
    <t xml:space="preserve">Tipo</t>
  </si>
  <si>
    <t xml:space="preserve">Confraternização Universal</t>
  </si>
  <si>
    <t xml:space="preserve">Paixão de Cristo</t>
  </si>
  <si>
    <t xml:space="preserve">Tiradentes</t>
  </si>
  <si>
    <t xml:space="preserve">Dia do Trabalho</t>
  </si>
  <si>
    <t xml:space="preserve">Independência do Brasil</t>
  </si>
  <si>
    <t xml:space="preserve">Nossa Senhora Aparecida</t>
  </si>
  <si>
    <t xml:space="preserve">Finados</t>
  </si>
  <si>
    <t xml:space="preserve">Proclamação da República</t>
  </si>
  <si>
    <t xml:space="preserve">Dia Nacional de Zumbi e da Consciência Negra</t>
  </si>
  <si>
    <t xml:space="preserve">Natal</t>
  </si>
  <si>
    <t xml:space="preserve">Feriados nacionais de 2026 e 2027 já incluídos. Carnaval e Corpus Christi são ponto facultativo nacional: inclua só se forem feriado na sua cidade ou se a convenção prever.</t>
  </si>
  <si>
    <t xml:space="preserve">Funcionário</t>
  </si>
  <si>
    <t xml:space="preserve">Maria Exemplo</t>
  </si>
  <si>
    <t xml:space="preserve">Horas/semana</t>
  </si>
  <si>
    <t xml:space="preserve">Jornada prevista por dia (deixe 00:00 nos dias de folga)</t>
  </si>
  <si>
    <t xml:space="preserve">Cargo</t>
  </si>
  <si>
    <t xml:space="preserve">Auxiliar administrativo</t>
  </si>
  <si>
    <t xml:space="preserve">Divisor</t>
  </si>
  <si>
    <t xml:space="preserve">Dom</t>
  </si>
  <si>
    <t xml:space="preserve">Seg</t>
  </si>
  <si>
    <t xml:space="preserve">Ter</t>
  </si>
  <si>
    <t xml:space="preserve">Qua</t>
  </si>
  <si>
    <t xml:space="preserve">Qui</t>
  </si>
  <si>
    <t xml:space="preserve">Sex</t>
  </si>
  <si>
    <t xml:space="preserve">Sáb</t>
  </si>
  <si>
    <t xml:space="preserve">Salário (R$)</t>
  </si>
  <si>
    <t xml:space="preserve">Horas</t>
  </si>
  <si>
    <t xml:space="preserve">Adicionais (R$)</t>
  </si>
  <si>
    <t xml:space="preserve">Marca intervalo?</t>
  </si>
  <si>
    <t xml:space="preserve">Jornada em dia de escala</t>
  </si>
  <si>
    <t xml:space="preserve">Intervalo pré-assinalado</t>
  </si>
  <si>
    <t xml:space="preserve">Marcações (digite 08:00)</t>
  </si>
  <si>
    <t xml:space="preserve">Jornada</t>
  </si>
  <si>
    <t xml:space="preserve">Horas extras e noturnas</t>
  </si>
  <si>
    <t xml:space="preserve">Faltas e intervalos</t>
  </si>
  <si>
    <t xml:space="preserve">Ocorrência</t>
  </si>
  <si>
    <t xml:space="preserve">Entrada 1</t>
  </si>
  <si>
    <t xml:space="preserve">Saída 1</t>
  </si>
  <si>
    <t xml:space="preserve">Entrada 2</t>
  </si>
  <si>
    <t xml:space="preserve">Saída 2</t>
  </si>
  <si>
    <t xml:space="preserve">Entrada 3</t>
  </si>
  <si>
    <t xml:space="preserve">Saída 3</t>
  </si>
  <si>
    <t xml:space="preserve">Tipo do dia</t>
  </si>
  <si>
    <t xml:space="preserve">Trabalhadas</t>
  </si>
  <si>
    <t xml:space="preserve">Computadas</t>
  </si>
  <si>
    <t xml:space="preserve">Prevista</t>
  </si>
  <si>
    <t xml:space="preserve">Horas noturnas</t>
  </si>
  <si>
    <t xml:space="preserve">HE noturnas</t>
  </si>
  <si>
    <t xml:space="preserve">Horas devidas</t>
  </si>
  <si>
    <t xml:space="preserve">Intervalo suprimido</t>
  </si>
  <si>
    <t xml:space="preserve">Descanso &lt; 11h</t>
  </si>
  <si>
    <t xml:space="preserve">Alertas</t>
  </si>
  <si>
    <t xml:space="preserve">Falta injustificada</t>
  </si>
  <si>
    <t xml:space="preserve">Atestado / abonado</t>
  </si>
  <si>
    <t xml:space="preserve">Totais do mês</t>
  </si>
  <si>
    <t xml:space="preserve">Resumo do mês em reais</t>
  </si>
  <si>
    <t xml:space="preserve">Verba</t>
  </si>
  <si>
    <t xml:space="preserve">Valor (R$)</t>
  </si>
  <si>
    <t xml:space="preserve">Como é calculado</t>
  </si>
  <si>
    <t xml:space="preserve">Horas além da jornada prevista em dias úteis × valor da hora com o adicional da faixa 1.</t>
  </si>
  <si>
    <t xml:space="preserve">Horas extras do dia que passaram do limite da faixa 1 (use se a convenção prevê % maior).</t>
  </si>
  <si>
    <t xml:space="preserve">Todas as horas trabalhadas em domingo, feriado ou folga, sem folga compensatória.</t>
  </si>
  <si>
    <t xml:space="preserve">Horas entre 22h e 5h (com hora reduzida, se ativada) × valor da hora × % do adicional noturno.</t>
  </si>
  <si>
    <t xml:space="preserve">Adicional noturno sobre horas extras noturnas</t>
  </si>
  <si>
    <t xml:space="preserve">A hora extra noturna leva o adicional noturno e o de hora extra, um sobre o outro (OJ 97 da SDI-1 do TST). Usa o % da faixa 1 em dia útil.</t>
  </si>
  <si>
    <t xml:space="preserve">Subtotal (base do DSR)</t>
  </si>
  <si>
    <t xml:space="preserve">Soma das verbas acima.</t>
  </si>
  <si>
    <t xml:space="preserve">DSR sobre horas extras e adicional noturno</t>
  </si>
  <si>
    <t xml:space="preserve">Só o tempo que faltou do intervalo mínimo, com adicional (CLT, art. 71, §4º). Indenizatório: fica fora do DSR.</t>
  </si>
  <si>
    <t xml:space="preserve">Horas que faltaram para 11h de descanso entre dois dias de trabalho (CLT, art. 66; OJ 355 da SDI-1 do TST).</t>
  </si>
  <si>
    <t xml:space="preserve">Total a pagar além do salário</t>
  </si>
  <si>
    <t xml:space="preserve">Subtotal + DSR + intervalos suprimidos.</t>
  </si>
  <si>
    <t xml:space="preserve">Horas devidas (atrasos, saídas e faltas)</t>
  </si>
  <si>
    <t xml:space="preserve">Informativo: valor que pode ser descontado ou compensado no banco de horas. Dias abonados não entram.</t>
  </si>
  <si>
    <t xml:space="preserve">Faltas injustificadas no mês</t>
  </si>
  <si>
    <t xml:space="preserve">Falta injustificada na semana pode tirar o direito ao DSR daquela semana (Lei 605/49, art. 6º). Confira com o seu contador.</t>
  </si>
  <si>
    <t xml:space="preserve">Planilha orientativa com base nas regras gerais da CLT. A convenção coletiva da categoria pode prever adicionais, divisores, prazos e regras próprias, que prevalecem. Não substitui a análise do seu contador ou advogado. Para outro funcionário: clique com o botão direito na aba 'Cartão de ponto' &gt; Mover ou copiar &gt; Criar uma cópia.</t>
  </si>
  <si>
    <t xml:space="preserve">Cálculo de horas extras da equipe</t>
  </si>
  <si>
    <t xml:space="preserve">Funcionário e salário</t>
  </si>
  <si>
    <t xml:space="preserve">Horas do mês (digite 12:30)</t>
  </si>
  <si>
    <t xml:space="preserve">Valores a pagar (R$)</t>
  </si>
  <si>
    <t xml:space="preserve">Salário base</t>
  </si>
  <si>
    <t xml:space="preserve">Adicionais na base</t>
  </si>
  <si>
    <t xml:space="preserve">Jornada semanal</t>
  </si>
  <si>
    <t xml:space="preserve">Horas extras</t>
  </si>
  <si>
    <t xml:space="preserve">Total</t>
  </si>
  <si>
    <t xml:space="preserve">João Exemplo</t>
  </si>
  <si>
    <t xml:space="preserve">Carla Exemplo (12x36)</t>
  </si>
  <si>
    <t xml:space="preserve">Total da equipe</t>
  </si>
  <si>
    <t xml:space="preserve">Os exemplos estão nas 3 primeiras linhas: apague e lance a sua equipe. Percentuais, dias úteis e domingos/feriados vêm da aba Configuração. Divisor = jornada semanal × 5 (digite por cima se a convenção definir outro). Adicionais na base: periculosidade, insalubridade e outros fixos (Súmula 264 do TST). O DSR considera horas extras habituais.</t>
  </si>
  <si>
    <t xml:space="preserve">Controle do banco de horas</t>
  </si>
  <si>
    <t xml:space="preserve">Lançamentos</t>
  </si>
  <si>
    <t xml:space="preserve">Saldo por funcionário</t>
  </si>
  <si>
    <t xml:space="preserve">Movimento</t>
  </si>
  <si>
    <t xml:space="preserve">Motivo</t>
  </si>
  <si>
    <t xml:space="preserve">Prazo do crédito</t>
  </si>
  <si>
    <t xml:space="preserve">Créditos</t>
  </si>
  <si>
    <t xml:space="preserve">Débitos</t>
  </si>
  <si>
    <t xml:space="preserve">Saldo</t>
  </si>
  <si>
    <t xml:space="preserve">Vencido (pagar)</t>
  </si>
  <si>
    <t xml:space="preserve">Vence em 30 dias</t>
  </si>
  <si>
    <t xml:space="preserve">Valor a pagar</t>
  </si>
  <si>
    <t xml:space="preserve">Situação</t>
  </si>
  <si>
    <t xml:space="preserve">Crédito</t>
  </si>
  <si>
    <t xml:space="preserve">Fechamento do trimestre</t>
  </si>
  <si>
    <t xml:space="preserve">Inventário</t>
  </si>
  <si>
    <t xml:space="preserve">Débito</t>
  </si>
  <si>
    <t xml:space="preserve">Saída antecipada</t>
  </si>
  <si>
    <t xml:space="preserve">Mutirão de entregas</t>
  </si>
  <si>
    <t xml:space="preserve">Plantão de sábado</t>
  </si>
  <si>
    <t xml:space="preserve">Folga compensada</t>
  </si>
  <si>
    <t xml:space="preserve">Como funciona: os débitos abatem primeiro os créditos mais antigos. 'Vencido' são créditos que passaram do prazo sem compensação e devem ser pagos como hora extra (CLT, art. 59, §3º). O valor a pagar usa o adicional da faixa 1 da Configuração. O nome do funcionário precisa ser escrito igual nos lançamentos e no saldo. Os exemplos podem ser apagados.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</si>
</sst>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"/>
    <numFmt numFmtId="166" formatCode="dd/mm/yyyy"/>
    <numFmt numFmtId="167" formatCode="0%"/>
    <numFmt numFmtId="168" formatCode="hh:mm"/>
    <numFmt numFmtId="169" formatCode="dd/mm"/>
    <numFmt numFmtId="170" formatCode="&quot;R$ &quot;#,##0.00"/>
    <numFmt numFmtId="171" formatCode="[h]:mm;;;"/>
    <numFmt numFmtId="172" formatCode="[h]:mm"/>
    <numFmt numFmtId="173" formatCode="dd/mm\ hh:mm"/>
  </numFmts>
  <fonts count="2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0E2C8E"/>
      <name val="Arial"/>
      <family val="0"/>
      <charset val="1"/>
    </font>
    <font>
      <sz val="11"/>
      <color rgb="FF5B647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746DD"/>
      <name val="Arial"/>
      <family val="0"/>
      <charset val="1"/>
    </font>
    <font>
      <sz val="10"/>
      <color rgb="FF101828"/>
      <name val="Arial"/>
      <family val="0"/>
      <charset val="1"/>
    </font>
    <font>
      <b val="true"/>
      <sz val="10"/>
      <color rgb="FF101828"/>
      <name val="Arial"/>
      <family val="0"/>
      <charset val="1"/>
    </font>
    <font>
      <sz val="10"/>
      <color rgb="FF1F3FB8"/>
      <name val="Arial"/>
      <family val="0"/>
      <charset val="1"/>
    </font>
    <font>
      <sz val="8.5"/>
      <color rgb="FF5B6475"/>
      <name val="Arial"/>
      <family val="0"/>
      <charset val="1"/>
    </font>
    <font>
      <b val="true"/>
      <u val="single"/>
      <sz val="10"/>
      <color rgb="FF1746DD"/>
      <name val="Arial"/>
      <family val="0"/>
      <charset val="1"/>
    </font>
    <font>
      <sz val="10"/>
      <color rgb="FF5B6475"/>
      <name val="Arial"/>
      <family val="0"/>
      <charset val="1"/>
    </font>
    <font>
      <b val="true"/>
      <sz val="16"/>
      <color rgb="FF0E2C8E"/>
      <name val="Arial"/>
      <family val="0"/>
      <charset val="1"/>
    </font>
    <font>
      <b val="true"/>
      <sz val="10"/>
      <color rgb="FF0E2C8E"/>
      <name val="Arial"/>
      <family val="0"/>
      <charset val="1"/>
    </font>
    <font>
      <b val="true"/>
      <sz val="9"/>
      <color rgb="FF101828"/>
      <name val="Arial"/>
      <family val="0"/>
      <charset val="1"/>
    </font>
    <font>
      <sz val="9"/>
      <color rgb="FF101828"/>
      <name val="Arial"/>
      <family val="0"/>
      <charset val="1"/>
    </font>
    <font>
      <b val="true"/>
      <sz val="9"/>
      <color rgb="FF5B6475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1F3FB8"/>
      <name val="Arial"/>
      <family val="0"/>
      <charset val="1"/>
    </font>
    <font>
      <b val="true"/>
      <sz val="9"/>
      <color rgb="FF0D6B20"/>
      <name val="Arial"/>
      <family val="0"/>
      <charset val="1"/>
    </font>
    <font>
      <b val="true"/>
      <sz val="9"/>
      <color rgb="FFB42318"/>
      <name val="Arial"/>
      <family val="0"/>
      <charset val="1"/>
    </font>
    <font>
      <sz val="8.5"/>
      <color rgb="FFB42318"/>
      <name val="Arial"/>
      <family val="0"/>
      <charset val="1"/>
    </font>
    <font>
      <b val="true"/>
      <sz val="13"/>
      <color rgb="FF0E2C8E"/>
      <name val="Arial"/>
      <family val="0"/>
      <charset val="1"/>
    </font>
    <font>
      <b val="true"/>
      <sz val="8.5"/>
      <color rgb="FF5B6475"/>
      <name val="Arial"/>
      <family val="0"/>
      <charset val="1"/>
    </font>
    <font>
      <b val="true"/>
      <sz val="11"/>
      <color rgb="FF101828"/>
      <name val="Arial"/>
      <family val="0"/>
      <charset val="1"/>
    </font>
    <font>
      <b val="true"/>
      <sz val="12"/>
      <color rgb="FF0D6B20"/>
      <name val="Arial"/>
      <family val="0"/>
      <charset val="1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746DD"/>
        <bgColor rgb="FF1F3FB8"/>
      </patternFill>
    </fill>
    <fill>
      <patternFill patternType="solid">
        <fgColor rgb="FFFFF7D6"/>
        <bgColor rgb="FFFFF1E6"/>
      </patternFill>
    </fill>
    <fill>
      <patternFill patternType="solid">
        <fgColor rgb="FFEAF0FF"/>
        <bgColor rgb="FFF3F4F6"/>
      </patternFill>
    </fill>
    <fill>
      <patternFill patternType="solid">
        <fgColor rgb="FFF3F4F6"/>
        <bgColor rgb="FFEAF0FF"/>
      </patternFill>
    </fill>
    <fill>
      <patternFill patternType="solid">
        <fgColor rgb="FF0E2C8E"/>
        <bgColor rgb="FF1F3FB8"/>
      </patternFill>
    </fill>
    <fill>
      <patternFill patternType="solid">
        <fgColor rgb="FFE8FBE9"/>
        <bgColor rgb="FFF3F4F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6DBE6"/>
      </left>
      <right style="thin">
        <color rgb="FFD6DBE6"/>
      </right>
      <top style="thin">
        <color rgb="FFD6DBE6"/>
      </top>
      <bottom style="thin">
        <color rgb="FFD6DBE6"/>
      </bottom>
      <diagonal/>
    </border>
    <border diagonalUp="false" diagonalDown="false">
      <left style="thin">
        <color rgb="FFD6DBE6"/>
      </left>
      <right/>
      <top style="thin">
        <color rgb="FFD6DBE6"/>
      </top>
      <bottom style="thin">
        <color rgb="FFD6DBE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70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6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2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2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2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2" fontId="1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73" fontId="1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6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72" fontId="6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6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2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2" fontId="9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9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7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2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6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1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>
          <bgColor rgb="FFEAF0FF"/>
        </patternFill>
      </fill>
    </dxf>
    <dxf>
      <fill>
        <patternFill>
          <bgColor rgb="FFF3F4F6"/>
        </patternFill>
      </fill>
    </dxf>
    <dxf>
      <fill>
        <patternFill>
          <bgColor rgb="FFFDECEC"/>
        </patternFill>
      </fill>
    </dxf>
    <dxf>
      <font>
        <name val="Arial"/>
        <charset val="1"/>
        <family val="0"/>
        <b val="1"/>
        <color rgb="FFB42318"/>
      </font>
      <fill>
        <patternFill>
          <bgColor rgb="FFFDECEC"/>
        </patternFill>
      </fill>
    </dxf>
    <dxf>
      <font>
        <name val="Arial"/>
        <charset val="1"/>
        <family val="0"/>
        <b val="1"/>
        <color rgb="FFB54708"/>
      </font>
      <fill>
        <patternFill>
          <bgColor rgb="FFFFF1E6"/>
        </patternFill>
      </fill>
    </dxf>
    <dxf>
      <font>
        <name val="Arial"/>
        <charset val="1"/>
        <family val="0"/>
        <b val="1"/>
        <color rgb="FF0D6B20"/>
      </font>
      <fill>
        <patternFill>
          <bgColor rgb="FFE8FBE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D6B20"/>
      <rgbColor rgb="FF000080"/>
      <rgbColor rgb="FF808000"/>
      <rgbColor rgb="FF800080"/>
      <rgbColor rgb="FF008080"/>
      <rgbColor rgb="FFC0C0C0"/>
      <rgbColor rgb="FF808080"/>
      <rgbColor rgb="FF9999FF"/>
      <rgbColor rgb="FFB54708"/>
      <rgbColor rgb="FFFFF7D6"/>
      <rgbColor rgb="FFE8FBE9"/>
      <rgbColor rgb="FF660066"/>
      <rgbColor rgb="FFFF8080"/>
      <rgbColor rgb="FF1746DD"/>
      <rgbColor rgb="FFD6DB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F0FF"/>
      <rgbColor rgb="FFF3F4F6"/>
      <rgbColor rgb="FFFFF1E6"/>
      <rgbColor rgb="FF99CCFF"/>
      <rgbColor rgb="FFFF99CC"/>
      <rgbColor rgb="FFCC99FF"/>
      <rgbColor rgb="FFFDECEC"/>
      <rgbColor rgb="FF3366FF"/>
      <rgbColor rgb="FF33CCCC"/>
      <rgbColor rgb="FF99CC00"/>
      <rgbColor rgb="FFFFCC00"/>
      <rgbColor rgb="FFFF9900"/>
      <rgbColor rgb="FFFF6600"/>
      <rgbColor rgb="FF5B6475"/>
      <rgbColor rgb="FF969696"/>
      <rgbColor rgb="FF0E2C8E"/>
      <rgbColor rgb="FF339966"/>
      <rgbColor rgb="FF101828"/>
      <rgbColor rgb="FF333300"/>
      <rgbColor rgb="FFB42318"/>
      <rgbColor rgb="FF993366"/>
      <rgbColor rgb="FF1F3FB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planilha-calculo-hora-extra-impacto.xlsx" TargetMode="External"/><Relationship Id="rId2" Type="http://schemas.openxmlformats.org/officeDocument/2006/relationships/hyperlink" Target="planilha-calculo-hora-extra-impacto.xlsx" TargetMode="External"/><Relationship Id="rId3" Type="http://schemas.openxmlformats.org/officeDocument/2006/relationships/hyperlink" Target="planilha-calculo-hora-extra-impacto.xlsx" TargetMode="External"/><Relationship Id="rId4" Type="http://schemas.openxmlformats.org/officeDocument/2006/relationships/hyperlink" Target="planilha-calculo-hora-extra-impacto.xlsx" TargetMode="External"/><Relationship Id="rId5" Type="http://schemas.openxmlformats.org/officeDocument/2006/relationships/hyperlink" Target="https://impactotecnologia.com.br/?utm_source=material-rico&amp;utm_medium=planilha&amp;utm_campaign=planilha-hora-extra" TargetMode="External"/><Relationship Id="rId6" Type="http://schemas.openxmlformats.org/officeDocument/2006/relationships/hyperlink" Target="https://lps.impactotecnologia.com.br/checklist-fechamento-de-ponto/?utm_source=material-rico&amp;utm_medium=planilha&amp;utm_campaign=planilha-hora-extra" TargetMode="External"/><Relationship Id="rId7" Type="http://schemas.openxmlformats.org/officeDocument/2006/relationships/hyperlink" Target="https://lps.impactotecnologia.com.br/calculadora-passivo-trabalhista/?utm_source=material-rico&amp;utm_medium=planilha&amp;utm_campaign=planilha-hora-extra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C4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30" hidden="false" customHeight="true" outlineLevel="0" collapsed="false">
      <c r="B2" s="1" t="s">
        <v>0</v>
      </c>
      <c r="C2" s="1"/>
    </row>
    <row r="3" customFormat="false" ht="15" hidden="false" customHeight="false" outlineLevel="0" collapsed="false">
      <c r="B3" s="2" t="s">
        <v>1</v>
      </c>
      <c r="C3" s="2"/>
    </row>
    <row r="5" customFormat="false" ht="15" hidden="false" customHeight="false" outlineLevel="0" collapsed="false">
      <c r="B5" s="3" t="s">
        <v>2</v>
      </c>
      <c r="C5" s="3"/>
    </row>
    <row r="6" customFormat="false" ht="31.5" hidden="false" customHeight="true" outlineLevel="0" collapsed="false">
      <c r="B6" s="4" t="s">
        <v>3</v>
      </c>
      <c r="C6" s="5" t="s">
        <v>4</v>
      </c>
    </row>
    <row r="7" customFormat="false" ht="31.5" hidden="false" customHeight="true" outlineLevel="0" collapsed="false">
      <c r="B7" s="4" t="s">
        <v>5</v>
      </c>
      <c r="C7" s="5" t="s">
        <v>6</v>
      </c>
    </row>
    <row r="8" customFormat="false" ht="31.5" hidden="false" customHeight="true" outlineLevel="0" collapsed="false">
      <c r="B8" s="4" t="s">
        <v>7</v>
      </c>
      <c r="C8" s="5" t="s">
        <v>8</v>
      </c>
    </row>
    <row r="9" customFormat="false" ht="31.5" hidden="false" customHeight="true" outlineLevel="0" collapsed="false">
      <c r="B9" s="4" t="s">
        <v>9</v>
      </c>
      <c r="C9" s="5" t="s">
        <v>10</v>
      </c>
    </row>
    <row r="11" customFormat="false" ht="15" hidden="false" customHeight="false" outlineLevel="0" collapsed="false">
      <c r="B11" s="3" t="s">
        <v>11</v>
      </c>
      <c r="C11" s="3"/>
    </row>
    <row r="12" customFormat="false" ht="31.5" hidden="false" customHeight="true" outlineLevel="0" collapsed="false">
      <c r="B12" s="6" t="s">
        <v>12</v>
      </c>
      <c r="C12" s="5" t="s">
        <v>13</v>
      </c>
    </row>
    <row r="13" customFormat="false" ht="31.5" hidden="false" customHeight="true" outlineLevel="0" collapsed="false">
      <c r="B13" s="6" t="s">
        <v>14</v>
      </c>
      <c r="C13" s="5" t="s">
        <v>15</v>
      </c>
    </row>
    <row r="14" customFormat="false" ht="31.5" hidden="false" customHeight="true" outlineLevel="0" collapsed="false">
      <c r="B14" s="6" t="s">
        <v>16</v>
      </c>
      <c r="C14" s="5" t="s">
        <v>17</v>
      </c>
    </row>
    <row r="15" customFormat="false" ht="31.5" hidden="false" customHeight="true" outlineLevel="0" collapsed="false">
      <c r="B15" s="6" t="s">
        <v>18</v>
      </c>
      <c r="C15" s="5" t="s">
        <v>19</v>
      </c>
    </row>
    <row r="16" customFormat="false" ht="31.5" hidden="false" customHeight="true" outlineLevel="0" collapsed="false">
      <c r="B16" s="6" t="s">
        <v>20</v>
      </c>
      <c r="C16" s="5" t="s">
        <v>21</v>
      </c>
    </row>
    <row r="17" customFormat="false" ht="18" hidden="false" customHeight="true" outlineLevel="0" collapsed="false">
      <c r="B17" s="6" t="s">
        <v>22</v>
      </c>
      <c r="C17" s="5" t="s">
        <v>23</v>
      </c>
    </row>
    <row r="18" customFormat="false" ht="31.5" hidden="false" customHeight="true" outlineLevel="0" collapsed="false">
      <c r="B18" s="6" t="s">
        <v>24</v>
      </c>
      <c r="C18" s="5" t="s">
        <v>25</v>
      </c>
    </row>
    <row r="19" customFormat="false" ht="31.5" hidden="false" customHeight="true" outlineLevel="0" collapsed="false">
      <c r="B19" s="6" t="s">
        <v>26</v>
      </c>
      <c r="C19" s="5" t="s">
        <v>27</v>
      </c>
    </row>
    <row r="21" customFormat="false" ht="15" hidden="false" customHeight="false" outlineLevel="0" collapsed="false">
      <c r="B21" s="3" t="s">
        <v>28</v>
      </c>
      <c r="C21" s="3"/>
    </row>
    <row r="22" customFormat="false" ht="15" hidden="false" customHeight="false" outlineLevel="0" collapsed="false">
      <c r="B22" s="7" t="s">
        <v>29</v>
      </c>
      <c r="C22" s="8" t="s">
        <v>30</v>
      </c>
    </row>
    <row r="23" customFormat="false" ht="15" hidden="false" customHeight="false" outlineLevel="0" collapsed="false">
      <c r="B23" s="9" t="s">
        <v>31</v>
      </c>
      <c r="C23" s="8" t="s">
        <v>32</v>
      </c>
    </row>
    <row r="24" customFormat="false" ht="15" hidden="false" customHeight="false" outlineLevel="0" collapsed="false">
      <c r="B24" s="10" t="s">
        <v>33</v>
      </c>
      <c r="C24" s="8" t="s">
        <v>34</v>
      </c>
    </row>
    <row r="25" customFormat="false" ht="30" hidden="false" customHeight="true" outlineLevel="0" collapsed="false">
      <c r="B25" s="11" t="s">
        <v>35</v>
      </c>
      <c r="C25" s="8" t="s">
        <v>36</v>
      </c>
    </row>
    <row r="27" customFormat="false" ht="15" hidden="false" customHeight="false" outlineLevel="0" collapsed="false">
      <c r="B27" s="3" t="s">
        <v>37</v>
      </c>
      <c r="C27" s="3"/>
    </row>
    <row r="28" customFormat="false" ht="31.5" hidden="false" customHeight="true" outlineLevel="0" collapsed="false">
      <c r="B28" s="6" t="s">
        <v>38</v>
      </c>
      <c r="C28" s="5" t="s">
        <v>39</v>
      </c>
    </row>
    <row r="29" customFormat="false" ht="31.5" hidden="false" customHeight="true" outlineLevel="0" collapsed="false">
      <c r="B29" s="6" t="s">
        <v>40</v>
      </c>
      <c r="C29" s="5" t="s">
        <v>41</v>
      </c>
    </row>
    <row r="30" customFormat="false" ht="45.75" hidden="false" customHeight="true" outlineLevel="0" collapsed="false">
      <c r="B30" s="6" t="s">
        <v>42</v>
      </c>
      <c r="C30" s="5" t="s">
        <v>43</v>
      </c>
    </row>
    <row r="31" customFormat="false" ht="31.5" hidden="false" customHeight="true" outlineLevel="0" collapsed="false">
      <c r="B31" s="6" t="s">
        <v>44</v>
      </c>
      <c r="C31" s="5" t="s">
        <v>45</v>
      </c>
    </row>
    <row r="32" customFormat="false" ht="31.5" hidden="false" customHeight="true" outlineLevel="0" collapsed="false">
      <c r="B32" s="6" t="s">
        <v>46</v>
      </c>
      <c r="C32" s="5" t="s">
        <v>47</v>
      </c>
    </row>
    <row r="33" customFormat="false" ht="31.5" hidden="false" customHeight="true" outlineLevel="0" collapsed="false">
      <c r="B33" s="6" t="s">
        <v>48</v>
      </c>
      <c r="C33" s="5" t="s">
        <v>49</v>
      </c>
    </row>
    <row r="34" customFormat="false" ht="31.5" hidden="false" customHeight="true" outlineLevel="0" collapsed="false">
      <c r="B34" s="6" t="s">
        <v>50</v>
      </c>
      <c r="C34" s="5" t="s">
        <v>51</v>
      </c>
    </row>
    <row r="35" customFormat="false" ht="31.5" hidden="false" customHeight="true" outlineLevel="0" collapsed="false">
      <c r="B35" s="6" t="s">
        <v>52</v>
      </c>
      <c r="C35" s="5" t="s">
        <v>53</v>
      </c>
    </row>
    <row r="36" customFormat="false" ht="31.5" hidden="false" customHeight="true" outlineLevel="0" collapsed="false">
      <c r="B36" s="6" t="s">
        <v>9</v>
      </c>
      <c r="C36" s="5" t="s">
        <v>54</v>
      </c>
    </row>
    <row r="37" customFormat="false" ht="30" hidden="false" customHeight="true" outlineLevel="0" collapsed="false">
      <c r="B37" s="12" t="s">
        <v>55</v>
      </c>
      <c r="C37" s="12"/>
    </row>
    <row r="39" customFormat="false" ht="15" hidden="false" customHeight="false" outlineLevel="0" collapsed="false">
      <c r="B39" s="3" t="s">
        <v>56</v>
      </c>
      <c r="C39" s="3"/>
    </row>
    <row r="40" customFormat="false" ht="43.5" hidden="false" customHeight="true" outlineLevel="0" collapsed="false">
      <c r="B40" s="13" t="s">
        <v>57</v>
      </c>
      <c r="C40" s="13"/>
    </row>
    <row r="41" customFormat="false" ht="19.5" hidden="false" customHeight="true" outlineLevel="0" collapsed="false">
      <c r="B41" s="14" t="s">
        <v>58</v>
      </c>
      <c r="C41" s="15" t="s">
        <v>59</v>
      </c>
    </row>
    <row r="42" customFormat="false" ht="19.5" hidden="false" customHeight="true" outlineLevel="0" collapsed="false">
      <c r="B42" s="14" t="s">
        <v>60</v>
      </c>
      <c r="C42" s="15" t="s">
        <v>61</v>
      </c>
    </row>
    <row r="43" customFormat="false" ht="19.5" hidden="false" customHeight="true" outlineLevel="0" collapsed="false">
      <c r="B43" s="14" t="s">
        <v>62</v>
      </c>
      <c r="C43" s="15" t="s">
        <v>63</v>
      </c>
    </row>
  </sheetData>
  <mergeCells count="9">
    <mergeCell ref="B2:C2"/>
    <mergeCell ref="B3:C3"/>
    <mergeCell ref="B5:C5"/>
    <mergeCell ref="B11:C11"/>
    <mergeCell ref="B21:C21"/>
    <mergeCell ref="B27:C27"/>
    <mergeCell ref="B37:C37"/>
    <mergeCell ref="B39:C39"/>
    <mergeCell ref="B40:C40"/>
  </mergeCells>
  <hyperlinks>
    <hyperlink ref="B6" r:id="rId1" location="'Configuração'!A1" display="Configuração"/>
    <hyperlink ref="B7" r:id="rId2" location="'Cartão%20de%20ponto'!A1" display="Cartão de ponto"/>
    <hyperlink ref="B8" r:id="rId3" location="'Equipe'!A1" display="Equipe"/>
    <hyperlink ref="B9" r:id="rId4" location="'Banco%20de%20horas'!A1" display="Banco de horas"/>
    <hyperlink ref="B41" r:id="rId5" display="Falar com a Impacto"/>
    <hyperlink ref="B42" r:id="rId6" display="Checklist de fechamento"/>
    <hyperlink ref="B43" r:id="rId7" display="Calculadora de passivo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H6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4"/>
    <col collapsed="false" customWidth="true" hidden="false" outlineLevel="0" max="3" min="3" style="0" width="16"/>
    <col collapsed="false" customWidth="true" hidden="false" outlineLevel="0" max="4" min="4" style="0" width="62"/>
    <col collapsed="false" customWidth="true" hidden="false" outlineLevel="0" max="5" min="5" style="0" width="3"/>
    <col collapsed="false" customWidth="true" hidden="false" outlineLevel="0" max="6" min="6" style="0" width="12"/>
    <col collapsed="false" customWidth="true" hidden="false" outlineLevel="0" max="7" min="7" style="0" width="7"/>
    <col collapsed="false" customWidth="true" hidden="false" outlineLevel="0" max="8" min="8" style="0" width="17"/>
  </cols>
  <sheetData>
    <row r="2" customFormat="false" ht="19.7" hidden="false" customHeight="false" outlineLevel="0" collapsed="false">
      <c r="B2" s="16" t="s">
        <v>3</v>
      </c>
    </row>
    <row r="3" customFormat="false" ht="15" hidden="false" customHeight="true" outlineLevel="0" collapsed="false">
      <c r="B3" s="17" t="s">
        <v>64</v>
      </c>
      <c r="C3" s="17"/>
      <c r="D3" s="17"/>
    </row>
    <row r="4" customFormat="false" ht="15" hidden="false" customHeight="false" outlineLevel="0" collapsed="false">
      <c r="B4" s="3" t="s">
        <v>65</v>
      </c>
      <c r="C4" s="3"/>
      <c r="D4" s="3"/>
    </row>
    <row r="5" customFormat="false" ht="30" hidden="false" customHeight="true" outlineLevel="0" collapsed="false">
      <c r="B5" s="18" t="s">
        <v>66</v>
      </c>
      <c r="C5" s="19" t="s">
        <v>67</v>
      </c>
      <c r="D5" s="20" t="s">
        <v>68</v>
      </c>
    </row>
    <row r="6" customFormat="false" ht="30" hidden="false" customHeight="true" outlineLevel="0" collapsed="false">
      <c r="B6" s="18" t="s">
        <v>69</v>
      </c>
      <c r="C6" s="21" t="n">
        <v>10</v>
      </c>
      <c r="D6" s="20" t="s">
        <v>70</v>
      </c>
    </row>
    <row r="7" customFormat="false" ht="30" hidden="false" customHeight="true" outlineLevel="0" collapsed="false">
      <c r="B7" s="18" t="s">
        <v>71</v>
      </c>
      <c r="C7" s="21" t="n">
        <v>2026</v>
      </c>
      <c r="D7" s="20"/>
    </row>
    <row r="8" customFormat="false" ht="30" hidden="false" customHeight="true" outlineLevel="0" collapsed="false">
      <c r="B8" s="18" t="s">
        <v>72</v>
      </c>
      <c r="C8" s="22" t="n">
        <f aca="false">DATE(C7,C6,1)</f>
        <v>46296</v>
      </c>
      <c r="D8" s="20" t="s">
        <v>73</v>
      </c>
    </row>
    <row r="9" customFormat="false" ht="30" hidden="false" customHeight="true" outlineLevel="0" collapsed="false">
      <c r="B9" s="18" t="s">
        <v>74</v>
      </c>
      <c r="C9" s="22" t="n">
        <f aca="false">EOMONTH(C8,0)</f>
        <v>46326</v>
      </c>
      <c r="D9" s="20" t="s">
        <v>73</v>
      </c>
    </row>
    <row r="11" customFormat="false" ht="15" hidden="false" customHeight="false" outlineLevel="0" collapsed="false">
      <c r="B11" s="3" t="s">
        <v>75</v>
      </c>
      <c r="C11" s="3"/>
      <c r="D11" s="3"/>
    </row>
    <row r="12" customFormat="false" ht="30" hidden="false" customHeight="true" outlineLevel="0" collapsed="false">
      <c r="B12" s="18" t="s">
        <v>76</v>
      </c>
      <c r="C12" s="23" t="n">
        <v>0.5</v>
      </c>
      <c r="D12" s="20" t="s">
        <v>77</v>
      </c>
    </row>
    <row r="13" customFormat="false" ht="30" hidden="false" customHeight="true" outlineLevel="0" collapsed="false">
      <c r="B13" s="18" t="s">
        <v>78</v>
      </c>
      <c r="C13" s="24" t="n">
        <v>0.0833333333333333</v>
      </c>
      <c r="D13" s="20" t="s">
        <v>79</v>
      </c>
    </row>
    <row r="14" customFormat="false" ht="30" hidden="false" customHeight="true" outlineLevel="0" collapsed="false">
      <c r="B14" s="18" t="s">
        <v>80</v>
      </c>
      <c r="C14" s="23" t="n">
        <v>0.5</v>
      </c>
      <c r="D14" s="20" t="s">
        <v>81</v>
      </c>
    </row>
    <row r="15" customFormat="false" ht="30" hidden="false" customHeight="true" outlineLevel="0" collapsed="false">
      <c r="B15" s="18" t="s">
        <v>82</v>
      </c>
      <c r="C15" s="23" t="n">
        <v>1</v>
      </c>
      <c r="D15" s="20" t="s">
        <v>83</v>
      </c>
    </row>
    <row r="16" customFormat="false" ht="30" hidden="false" customHeight="true" outlineLevel="0" collapsed="false">
      <c r="B16" s="18" t="s">
        <v>42</v>
      </c>
      <c r="C16" s="23" t="n">
        <v>0.2</v>
      </c>
      <c r="D16" s="20" t="s">
        <v>84</v>
      </c>
    </row>
    <row r="17" customFormat="false" ht="30" hidden="false" customHeight="true" outlineLevel="0" collapsed="false">
      <c r="B17" s="18" t="s">
        <v>85</v>
      </c>
      <c r="C17" s="7" t="s">
        <v>86</v>
      </c>
      <c r="D17" s="20" t="s">
        <v>87</v>
      </c>
    </row>
    <row r="18" customFormat="false" ht="30" hidden="false" customHeight="true" outlineLevel="0" collapsed="false">
      <c r="B18" s="18" t="s">
        <v>88</v>
      </c>
      <c r="C18" s="24" t="n">
        <v>0.00694444444444444</v>
      </c>
      <c r="D18" s="20" t="s">
        <v>89</v>
      </c>
    </row>
    <row r="19" customFormat="false" ht="30" hidden="false" customHeight="true" outlineLevel="0" collapsed="false">
      <c r="B19" s="18" t="s">
        <v>90</v>
      </c>
      <c r="C19" s="23" t="n">
        <v>0.5</v>
      </c>
      <c r="D19" s="20" t="s">
        <v>91</v>
      </c>
    </row>
    <row r="20" customFormat="false" ht="30" hidden="false" customHeight="true" outlineLevel="0" collapsed="false">
      <c r="B20" s="18" t="s">
        <v>92</v>
      </c>
      <c r="C20" s="23" t="n">
        <v>0.5</v>
      </c>
      <c r="D20" s="20" t="s">
        <v>93</v>
      </c>
    </row>
    <row r="21" customFormat="false" ht="30" hidden="false" customHeight="true" outlineLevel="0" collapsed="false">
      <c r="B21" s="18" t="s">
        <v>94</v>
      </c>
      <c r="C21" s="24" t="n">
        <v>0.00347222222222222</v>
      </c>
      <c r="D21" s="20" t="s">
        <v>95</v>
      </c>
    </row>
    <row r="22" customFormat="false" ht="15" hidden="false" customHeight="false" outlineLevel="0" collapsed="false">
      <c r="B22" s="3" t="s">
        <v>9</v>
      </c>
      <c r="C22" s="3"/>
      <c r="D22" s="3"/>
    </row>
    <row r="23" customFormat="false" ht="30" hidden="false" customHeight="true" outlineLevel="0" collapsed="false">
      <c r="B23" s="18" t="s">
        <v>96</v>
      </c>
      <c r="C23" s="21" t="n">
        <v>6</v>
      </c>
      <c r="D23" s="20" t="s">
        <v>97</v>
      </c>
    </row>
    <row r="24" customFormat="false" ht="30" hidden="false" customHeight="true" outlineLevel="0" collapsed="false">
      <c r="B24" s="18" t="s">
        <v>98</v>
      </c>
      <c r="C24" s="25" t="n">
        <f aca="true">TODAY()</f>
        <v>46302</v>
      </c>
      <c r="D24" s="20" t="s">
        <v>99</v>
      </c>
    </row>
    <row r="26" customFormat="false" ht="15" hidden="false" customHeight="false" outlineLevel="0" collapsed="false">
      <c r="B26" s="3" t="s">
        <v>100</v>
      </c>
      <c r="C26" s="3"/>
      <c r="D26" s="3"/>
    </row>
    <row r="27" customFormat="false" ht="30" hidden="false" customHeight="true" outlineLevel="0" collapsed="false">
      <c r="B27" s="18" t="s">
        <v>101</v>
      </c>
      <c r="C27" s="26" t="n">
        <f aca="false">COUNTIF(H32:H62,"Útil")</f>
        <v>26</v>
      </c>
      <c r="D27" s="20" t="s">
        <v>102</v>
      </c>
    </row>
    <row r="28" customFormat="false" ht="30" hidden="false" customHeight="true" outlineLevel="0" collapsed="false">
      <c r="B28" s="18" t="s">
        <v>103</v>
      </c>
      <c r="C28" s="26" t="n">
        <f aca="false">COUNTIF(H32:H62,"Domingo/feriado")</f>
        <v>5</v>
      </c>
      <c r="D28" s="20" t="s">
        <v>104</v>
      </c>
    </row>
    <row r="30" customFormat="false" ht="15" hidden="false" customHeight="false" outlineLevel="0" collapsed="false">
      <c r="B30" s="3" t="s">
        <v>105</v>
      </c>
      <c r="C30" s="3"/>
      <c r="D30" s="3"/>
      <c r="F30" s="27" t="s">
        <v>106</v>
      </c>
    </row>
    <row r="31" customFormat="false" ht="15" hidden="false" customHeight="true" outlineLevel="0" collapsed="false">
      <c r="B31" s="28" t="s">
        <v>107</v>
      </c>
      <c r="C31" s="29" t="s">
        <v>108</v>
      </c>
      <c r="D31" s="29"/>
      <c r="F31" s="30" t="s">
        <v>107</v>
      </c>
      <c r="G31" s="30" t="s">
        <v>109</v>
      </c>
      <c r="H31" s="30" t="s">
        <v>110</v>
      </c>
    </row>
    <row r="32" customFormat="false" ht="15" hidden="false" customHeight="true" outlineLevel="0" collapsed="false">
      <c r="B32" s="25" t="n">
        <v>46023</v>
      </c>
      <c r="C32" s="19" t="s">
        <v>111</v>
      </c>
      <c r="D32" s="19"/>
      <c r="F32" s="31" t="n">
        <f aca="false">IF(1&lt;=DAY(FimMes),InicioMes+0,"")</f>
        <v>46296</v>
      </c>
      <c r="G32" s="32" t="str">
        <f aca="false">IF(F32="","",CHOOSE(WEEKDAY(F32),"Dom","Seg","Ter","Qua","Qui","Sex","Sáb"))</f>
        <v>Qui</v>
      </c>
      <c r="H32" s="32" t="str">
        <f aca="false">IF(F32="","",IF(OR(WEEKDAY(F32)=1,COUNTIF(Feriados,F32)&gt;0),"Domingo/feriado","Útil"))</f>
        <v>Útil</v>
      </c>
    </row>
    <row r="33" customFormat="false" ht="15" hidden="false" customHeight="true" outlineLevel="0" collapsed="false">
      <c r="B33" s="25" t="n">
        <v>46115</v>
      </c>
      <c r="C33" s="19" t="s">
        <v>112</v>
      </c>
      <c r="D33" s="19"/>
      <c r="F33" s="31" t="n">
        <f aca="false">IF(2&lt;=DAY(FimMes),InicioMes+1,"")</f>
        <v>46297</v>
      </c>
      <c r="G33" s="32" t="str">
        <f aca="false">IF(F33="","",CHOOSE(WEEKDAY(F33),"Dom","Seg","Ter","Qua","Qui","Sex","Sáb"))</f>
        <v>Sex</v>
      </c>
      <c r="H33" s="32" t="str">
        <f aca="false">IF(F33="","",IF(OR(WEEKDAY(F33)=1,COUNTIF(Feriados,F33)&gt;0),"Domingo/feriado","Útil"))</f>
        <v>Útil</v>
      </c>
    </row>
    <row r="34" customFormat="false" ht="15" hidden="false" customHeight="true" outlineLevel="0" collapsed="false">
      <c r="B34" s="25" t="n">
        <v>46133</v>
      </c>
      <c r="C34" s="19" t="s">
        <v>113</v>
      </c>
      <c r="D34" s="19"/>
      <c r="F34" s="31" t="n">
        <f aca="false">IF(3&lt;=DAY(FimMes),InicioMes+2,"")</f>
        <v>46298</v>
      </c>
      <c r="G34" s="32" t="str">
        <f aca="false">IF(F34="","",CHOOSE(WEEKDAY(F34),"Dom","Seg","Ter","Qua","Qui","Sex","Sáb"))</f>
        <v>Sáb</v>
      </c>
      <c r="H34" s="32" t="str">
        <f aca="false">IF(F34="","",IF(OR(WEEKDAY(F34)=1,COUNTIF(Feriados,F34)&gt;0),"Domingo/feriado","Útil"))</f>
        <v>Útil</v>
      </c>
    </row>
    <row r="35" customFormat="false" ht="15" hidden="false" customHeight="true" outlineLevel="0" collapsed="false">
      <c r="B35" s="25" t="n">
        <v>46143</v>
      </c>
      <c r="C35" s="19" t="s">
        <v>114</v>
      </c>
      <c r="D35" s="19"/>
      <c r="F35" s="31" t="n">
        <f aca="false">IF(4&lt;=DAY(FimMes),InicioMes+3,"")</f>
        <v>46299</v>
      </c>
      <c r="G35" s="32" t="str">
        <f aca="false">IF(F35="","",CHOOSE(WEEKDAY(F35),"Dom","Seg","Ter","Qua","Qui","Sex","Sáb"))</f>
        <v>Dom</v>
      </c>
      <c r="H35" s="32" t="str">
        <f aca="false">IF(F35="","",IF(OR(WEEKDAY(F35)=1,COUNTIF(Feriados,F35)&gt;0),"Domingo/feriado","Útil"))</f>
        <v>Domingo/feriado</v>
      </c>
    </row>
    <row r="36" customFormat="false" ht="15" hidden="false" customHeight="true" outlineLevel="0" collapsed="false">
      <c r="B36" s="25" t="n">
        <v>46272</v>
      </c>
      <c r="C36" s="19" t="s">
        <v>115</v>
      </c>
      <c r="D36" s="19"/>
      <c r="F36" s="31" t="n">
        <f aca="false">IF(5&lt;=DAY(FimMes),InicioMes+4,"")</f>
        <v>46300</v>
      </c>
      <c r="G36" s="32" t="str">
        <f aca="false">IF(F36="","",CHOOSE(WEEKDAY(F36),"Dom","Seg","Ter","Qua","Qui","Sex","Sáb"))</f>
        <v>Seg</v>
      </c>
      <c r="H36" s="32" t="str">
        <f aca="false">IF(F36="","",IF(OR(WEEKDAY(F36)=1,COUNTIF(Feriados,F36)&gt;0),"Domingo/feriado","Útil"))</f>
        <v>Útil</v>
      </c>
    </row>
    <row r="37" customFormat="false" ht="15" hidden="false" customHeight="true" outlineLevel="0" collapsed="false">
      <c r="B37" s="25" t="n">
        <v>46307</v>
      </c>
      <c r="C37" s="19" t="s">
        <v>116</v>
      </c>
      <c r="D37" s="19"/>
      <c r="F37" s="31" t="n">
        <f aca="false">IF(6&lt;=DAY(FimMes),InicioMes+5,"")</f>
        <v>46301</v>
      </c>
      <c r="G37" s="32" t="str">
        <f aca="false">IF(F37="","",CHOOSE(WEEKDAY(F37),"Dom","Seg","Ter","Qua","Qui","Sex","Sáb"))</f>
        <v>Ter</v>
      </c>
      <c r="H37" s="32" t="str">
        <f aca="false">IF(F37="","",IF(OR(WEEKDAY(F37)=1,COUNTIF(Feriados,F37)&gt;0),"Domingo/feriado","Útil"))</f>
        <v>Útil</v>
      </c>
    </row>
    <row r="38" customFormat="false" ht="15" hidden="false" customHeight="true" outlineLevel="0" collapsed="false">
      <c r="B38" s="25" t="n">
        <v>46328</v>
      </c>
      <c r="C38" s="19" t="s">
        <v>117</v>
      </c>
      <c r="D38" s="19"/>
      <c r="F38" s="31" t="n">
        <f aca="false">IF(7&lt;=DAY(FimMes),InicioMes+6,"")</f>
        <v>46302</v>
      </c>
      <c r="G38" s="32" t="str">
        <f aca="false">IF(F38="","",CHOOSE(WEEKDAY(F38),"Dom","Seg","Ter","Qua","Qui","Sex","Sáb"))</f>
        <v>Qua</v>
      </c>
      <c r="H38" s="32" t="str">
        <f aca="false">IF(F38="","",IF(OR(WEEKDAY(F38)=1,COUNTIF(Feriados,F38)&gt;0),"Domingo/feriado","Útil"))</f>
        <v>Útil</v>
      </c>
    </row>
    <row r="39" customFormat="false" ht="15" hidden="false" customHeight="true" outlineLevel="0" collapsed="false">
      <c r="B39" s="25" t="n">
        <v>46341</v>
      </c>
      <c r="C39" s="19" t="s">
        <v>118</v>
      </c>
      <c r="D39" s="19"/>
      <c r="F39" s="31" t="n">
        <f aca="false">IF(8&lt;=DAY(FimMes),InicioMes+7,"")</f>
        <v>46303</v>
      </c>
      <c r="G39" s="32" t="str">
        <f aca="false">IF(F39="","",CHOOSE(WEEKDAY(F39),"Dom","Seg","Ter","Qua","Qui","Sex","Sáb"))</f>
        <v>Qui</v>
      </c>
      <c r="H39" s="32" t="str">
        <f aca="false">IF(F39="","",IF(OR(WEEKDAY(F39)=1,COUNTIF(Feriados,F39)&gt;0),"Domingo/feriado","Útil"))</f>
        <v>Útil</v>
      </c>
    </row>
    <row r="40" customFormat="false" ht="15" hidden="false" customHeight="true" outlineLevel="0" collapsed="false">
      <c r="B40" s="25" t="n">
        <v>46346</v>
      </c>
      <c r="C40" s="19" t="s">
        <v>119</v>
      </c>
      <c r="D40" s="19"/>
      <c r="F40" s="31" t="n">
        <f aca="false">IF(9&lt;=DAY(FimMes),InicioMes+8,"")</f>
        <v>46304</v>
      </c>
      <c r="G40" s="32" t="str">
        <f aca="false">IF(F40="","",CHOOSE(WEEKDAY(F40),"Dom","Seg","Ter","Qua","Qui","Sex","Sáb"))</f>
        <v>Sex</v>
      </c>
      <c r="H40" s="32" t="str">
        <f aca="false">IF(F40="","",IF(OR(WEEKDAY(F40)=1,COUNTIF(Feriados,F40)&gt;0),"Domingo/feriado","Útil"))</f>
        <v>Útil</v>
      </c>
    </row>
    <row r="41" customFormat="false" ht="15" hidden="false" customHeight="true" outlineLevel="0" collapsed="false">
      <c r="B41" s="25" t="n">
        <v>46381</v>
      </c>
      <c r="C41" s="19" t="s">
        <v>120</v>
      </c>
      <c r="D41" s="19"/>
      <c r="F41" s="31" t="n">
        <f aca="false">IF(10&lt;=DAY(FimMes),InicioMes+9,"")</f>
        <v>46305</v>
      </c>
      <c r="G41" s="32" t="str">
        <f aca="false">IF(F41="","",CHOOSE(WEEKDAY(F41),"Dom","Seg","Ter","Qua","Qui","Sex","Sáb"))</f>
        <v>Sáb</v>
      </c>
      <c r="H41" s="32" t="str">
        <f aca="false">IF(F41="","",IF(OR(WEEKDAY(F41)=1,COUNTIF(Feriados,F41)&gt;0),"Domingo/feriado","Útil"))</f>
        <v>Útil</v>
      </c>
    </row>
    <row r="42" customFormat="false" ht="15" hidden="false" customHeight="true" outlineLevel="0" collapsed="false">
      <c r="B42" s="25" t="n">
        <v>46388</v>
      </c>
      <c r="C42" s="19" t="s">
        <v>111</v>
      </c>
      <c r="D42" s="19"/>
      <c r="F42" s="31" t="n">
        <f aca="false">IF(11&lt;=DAY(FimMes),InicioMes+10,"")</f>
        <v>46306</v>
      </c>
      <c r="G42" s="32" t="str">
        <f aca="false">IF(F42="","",CHOOSE(WEEKDAY(F42),"Dom","Seg","Ter","Qua","Qui","Sex","Sáb"))</f>
        <v>Dom</v>
      </c>
      <c r="H42" s="32" t="str">
        <f aca="false">IF(F42="","",IF(OR(WEEKDAY(F42)=1,COUNTIF(Feriados,F42)&gt;0),"Domingo/feriado","Útil"))</f>
        <v>Domingo/feriado</v>
      </c>
    </row>
    <row r="43" customFormat="false" ht="15" hidden="false" customHeight="true" outlineLevel="0" collapsed="false">
      <c r="B43" s="25" t="n">
        <v>46472</v>
      </c>
      <c r="C43" s="19" t="s">
        <v>112</v>
      </c>
      <c r="D43" s="19"/>
      <c r="F43" s="31" t="n">
        <f aca="false">IF(12&lt;=DAY(FimMes),InicioMes+11,"")</f>
        <v>46307</v>
      </c>
      <c r="G43" s="32" t="str">
        <f aca="false">IF(F43="","",CHOOSE(WEEKDAY(F43),"Dom","Seg","Ter","Qua","Qui","Sex","Sáb"))</f>
        <v>Seg</v>
      </c>
      <c r="H43" s="32" t="str">
        <f aca="false">IF(F43="","",IF(OR(WEEKDAY(F43)=1,COUNTIF(Feriados,F43)&gt;0),"Domingo/feriado","Útil"))</f>
        <v>Domingo/feriado</v>
      </c>
    </row>
    <row r="44" customFormat="false" ht="15" hidden="false" customHeight="true" outlineLevel="0" collapsed="false">
      <c r="B44" s="25" t="n">
        <v>46498</v>
      </c>
      <c r="C44" s="19" t="s">
        <v>113</v>
      </c>
      <c r="D44" s="19"/>
      <c r="F44" s="31" t="n">
        <f aca="false">IF(13&lt;=DAY(FimMes),InicioMes+12,"")</f>
        <v>46308</v>
      </c>
      <c r="G44" s="32" t="str">
        <f aca="false">IF(F44="","",CHOOSE(WEEKDAY(F44),"Dom","Seg","Ter","Qua","Qui","Sex","Sáb"))</f>
        <v>Ter</v>
      </c>
      <c r="H44" s="32" t="str">
        <f aca="false">IF(F44="","",IF(OR(WEEKDAY(F44)=1,COUNTIF(Feriados,F44)&gt;0),"Domingo/feriado","Útil"))</f>
        <v>Útil</v>
      </c>
    </row>
    <row r="45" customFormat="false" ht="15" hidden="false" customHeight="true" outlineLevel="0" collapsed="false">
      <c r="B45" s="25" t="n">
        <v>46508</v>
      </c>
      <c r="C45" s="19" t="s">
        <v>114</v>
      </c>
      <c r="D45" s="19"/>
      <c r="F45" s="31" t="n">
        <f aca="false">IF(14&lt;=DAY(FimMes),InicioMes+13,"")</f>
        <v>46309</v>
      </c>
      <c r="G45" s="32" t="str">
        <f aca="false">IF(F45="","",CHOOSE(WEEKDAY(F45),"Dom","Seg","Ter","Qua","Qui","Sex","Sáb"))</f>
        <v>Qua</v>
      </c>
      <c r="H45" s="32" t="str">
        <f aca="false">IF(F45="","",IF(OR(WEEKDAY(F45)=1,COUNTIF(Feriados,F45)&gt;0),"Domingo/feriado","Útil"))</f>
        <v>Útil</v>
      </c>
    </row>
    <row r="46" customFormat="false" ht="15" hidden="false" customHeight="true" outlineLevel="0" collapsed="false">
      <c r="B46" s="25" t="n">
        <v>46637</v>
      </c>
      <c r="C46" s="19" t="s">
        <v>115</v>
      </c>
      <c r="D46" s="19"/>
      <c r="F46" s="31" t="n">
        <f aca="false">IF(15&lt;=DAY(FimMes),InicioMes+14,"")</f>
        <v>46310</v>
      </c>
      <c r="G46" s="32" t="str">
        <f aca="false">IF(F46="","",CHOOSE(WEEKDAY(F46),"Dom","Seg","Ter","Qua","Qui","Sex","Sáb"))</f>
        <v>Qui</v>
      </c>
      <c r="H46" s="32" t="str">
        <f aca="false">IF(F46="","",IF(OR(WEEKDAY(F46)=1,COUNTIF(Feriados,F46)&gt;0),"Domingo/feriado","Útil"))</f>
        <v>Útil</v>
      </c>
    </row>
    <row r="47" customFormat="false" ht="15" hidden="false" customHeight="true" outlineLevel="0" collapsed="false">
      <c r="B47" s="25" t="n">
        <v>46672</v>
      </c>
      <c r="C47" s="19" t="s">
        <v>116</v>
      </c>
      <c r="D47" s="19"/>
      <c r="F47" s="31" t="n">
        <f aca="false">IF(16&lt;=DAY(FimMes),InicioMes+15,"")</f>
        <v>46311</v>
      </c>
      <c r="G47" s="32" t="str">
        <f aca="false">IF(F47="","",CHOOSE(WEEKDAY(F47),"Dom","Seg","Ter","Qua","Qui","Sex","Sáb"))</f>
        <v>Sex</v>
      </c>
      <c r="H47" s="32" t="str">
        <f aca="false">IF(F47="","",IF(OR(WEEKDAY(F47)=1,COUNTIF(Feriados,F47)&gt;0),"Domingo/feriado","Útil"))</f>
        <v>Útil</v>
      </c>
    </row>
    <row r="48" customFormat="false" ht="15" hidden="false" customHeight="true" outlineLevel="0" collapsed="false">
      <c r="B48" s="25" t="n">
        <v>46693</v>
      </c>
      <c r="C48" s="19" t="s">
        <v>117</v>
      </c>
      <c r="D48" s="19"/>
      <c r="F48" s="31" t="n">
        <f aca="false">IF(17&lt;=DAY(FimMes),InicioMes+16,"")</f>
        <v>46312</v>
      </c>
      <c r="G48" s="32" t="str">
        <f aca="false">IF(F48="","",CHOOSE(WEEKDAY(F48),"Dom","Seg","Ter","Qua","Qui","Sex","Sáb"))</f>
        <v>Sáb</v>
      </c>
      <c r="H48" s="32" t="str">
        <f aca="false">IF(F48="","",IF(OR(WEEKDAY(F48)=1,COUNTIF(Feriados,F48)&gt;0),"Domingo/feriado","Útil"))</f>
        <v>Útil</v>
      </c>
    </row>
    <row r="49" customFormat="false" ht="15" hidden="false" customHeight="true" outlineLevel="0" collapsed="false">
      <c r="B49" s="25" t="n">
        <v>46706</v>
      </c>
      <c r="C49" s="19" t="s">
        <v>118</v>
      </c>
      <c r="D49" s="19"/>
      <c r="F49" s="31" t="n">
        <f aca="false">IF(18&lt;=DAY(FimMes),InicioMes+17,"")</f>
        <v>46313</v>
      </c>
      <c r="G49" s="32" t="str">
        <f aca="false">IF(F49="","",CHOOSE(WEEKDAY(F49),"Dom","Seg","Ter","Qua","Qui","Sex","Sáb"))</f>
        <v>Dom</v>
      </c>
      <c r="H49" s="32" t="str">
        <f aca="false">IF(F49="","",IF(OR(WEEKDAY(F49)=1,COUNTIF(Feriados,F49)&gt;0),"Domingo/feriado","Útil"))</f>
        <v>Domingo/feriado</v>
      </c>
    </row>
    <row r="50" customFormat="false" ht="15" hidden="false" customHeight="true" outlineLevel="0" collapsed="false">
      <c r="B50" s="25" t="n">
        <v>46711</v>
      </c>
      <c r="C50" s="19" t="s">
        <v>119</v>
      </c>
      <c r="D50" s="19"/>
      <c r="F50" s="31" t="n">
        <f aca="false">IF(19&lt;=DAY(FimMes),InicioMes+18,"")</f>
        <v>46314</v>
      </c>
      <c r="G50" s="32" t="str">
        <f aca="false">IF(F50="","",CHOOSE(WEEKDAY(F50),"Dom","Seg","Ter","Qua","Qui","Sex","Sáb"))</f>
        <v>Seg</v>
      </c>
      <c r="H50" s="32" t="str">
        <f aca="false">IF(F50="","",IF(OR(WEEKDAY(F50)=1,COUNTIF(Feriados,F50)&gt;0),"Domingo/feriado","Útil"))</f>
        <v>Útil</v>
      </c>
    </row>
    <row r="51" customFormat="false" ht="15" hidden="false" customHeight="true" outlineLevel="0" collapsed="false">
      <c r="B51" s="25" t="n">
        <v>46746</v>
      </c>
      <c r="C51" s="19" t="s">
        <v>120</v>
      </c>
      <c r="D51" s="19"/>
      <c r="F51" s="31" t="n">
        <f aca="false">IF(20&lt;=DAY(FimMes),InicioMes+19,"")</f>
        <v>46315</v>
      </c>
      <c r="G51" s="32" t="str">
        <f aca="false">IF(F51="","",CHOOSE(WEEKDAY(F51),"Dom","Seg","Ter","Qua","Qui","Sex","Sáb"))</f>
        <v>Ter</v>
      </c>
      <c r="H51" s="32" t="str">
        <f aca="false">IF(F51="","",IF(OR(WEEKDAY(F51)=1,COUNTIF(Feriados,F51)&gt;0),"Domingo/feriado","Útil"))</f>
        <v>Útil</v>
      </c>
    </row>
    <row r="52" customFormat="false" ht="15" hidden="false" customHeight="false" outlineLevel="0" collapsed="false">
      <c r="B52" s="25"/>
      <c r="C52" s="19"/>
      <c r="D52" s="19"/>
      <c r="F52" s="31" t="n">
        <f aca="false">IF(21&lt;=DAY(FimMes),InicioMes+20,"")</f>
        <v>46316</v>
      </c>
      <c r="G52" s="32" t="str">
        <f aca="false">IF(F52="","",CHOOSE(WEEKDAY(F52),"Dom","Seg","Ter","Qua","Qui","Sex","Sáb"))</f>
        <v>Qua</v>
      </c>
      <c r="H52" s="32" t="str">
        <f aca="false">IF(F52="","",IF(OR(WEEKDAY(F52)=1,COUNTIF(Feriados,F52)&gt;0),"Domingo/feriado","Útil"))</f>
        <v>Útil</v>
      </c>
    </row>
    <row r="53" customFormat="false" ht="15" hidden="false" customHeight="false" outlineLevel="0" collapsed="false">
      <c r="B53" s="25"/>
      <c r="C53" s="19"/>
      <c r="D53" s="19"/>
      <c r="F53" s="31" t="n">
        <f aca="false">IF(22&lt;=DAY(FimMes),InicioMes+21,"")</f>
        <v>46317</v>
      </c>
      <c r="G53" s="32" t="str">
        <f aca="false">IF(F53="","",CHOOSE(WEEKDAY(F53),"Dom","Seg","Ter","Qua","Qui","Sex","Sáb"))</f>
        <v>Qui</v>
      </c>
      <c r="H53" s="32" t="str">
        <f aca="false">IF(F53="","",IF(OR(WEEKDAY(F53)=1,COUNTIF(Feriados,F53)&gt;0),"Domingo/feriado","Útil"))</f>
        <v>Útil</v>
      </c>
    </row>
    <row r="54" customFormat="false" ht="15" hidden="false" customHeight="false" outlineLevel="0" collapsed="false">
      <c r="B54" s="25"/>
      <c r="C54" s="19"/>
      <c r="D54" s="19"/>
      <c r="F54" s="31" t="n">
        <f aca="false">IF(23&lt;=DAY(FimMes),InicioMes+22,"")</f>
        <v>46318</v>
      </c>
      <c r="G54" s="32" t="str">
        <f aca="false">IF(F54="","",CHOOSE(WEEKDAY(F54),"Dom","Seg","Ter","Qua","Qui","Sex","Sáb"))</f>
        <v>Sex</v>
      </c>
      <c r="H54" s="32" t="str">
        <f aca="false">IF(F54="","",IF(OR(WEEKDAY(F54)=1,COUNTIF(Feriados,F54)&gt;0),"Domingo/feriado","Útil"))</f>
        <v>Útil</v>
      </c>
    </row>
    <row r="55" customFormat="false" ht="15" hidden="false" customHeight="false" outlineLevel="0" collapsed="false">
      <c r="B55" s="25"/>
      <c r="C55" s="19"/>
      <c r="D55" s="19"/>
      <c r="F55" s="31" t="n">
        <f aca="false">IF(24&lt;=DAY(FimMes),InicioMes+23,"")</f>
        <v>46319</v>
      </c>
      <c r="G55" s="32" t="str">
        <f aca="false">IF(F55="","",CHOOSE(WEEKDAY(F55),"Dom","Seg","Ter","Qua","Qui","Sex","Sáb"))</f>
        <v>Sáb</v>
      </c>
      <c r="H55" s="32" t="str">
        <f aca="false">IF(F55="","",IF(OR(WEEKDAY(F55)=1,COUNTIF(Feriados,F55)&gt;0),"Domingo/feriado","Útil"))</f>
        <v>Útil</v>
      </c>
    </row>
    <row r="56" customFormat="false" ht="15" hidden="false" customHeight="false" outlineLevel="0" collapsed="false">
      <c r="B56" s="25"/>
      <c r="C56" s="19"/>
      <c r="D56" s="19"/>
      <c r="F56" s="31" t="n">
        <f aca="false">IF(25&lt;=DAY(FimMes),InicioMes+24,"")</f>
        <v>46320</v>
      </c>
      <c r="G56" s="32" t="str">
        <f aca="false">IF(F56="","",CHOOSE(WEEKDAY(F56),"Dom","Seg","Ter","Qua","Qui","Sex","Sáb"))</f>
        <v>Dom</v>
      </c>
      <c r="H56" s="32" t="str">
        <f aca="false">IF(F56="","",IF(OR(WEEKDAY(F56)=1,COUNTIF(Feriados,F56)&gt;0),"Domingo/feriado","Útil"))</f>
        <v>Domingo/feriado</v>
      </c>
    </row>
    <row r="57" customFormat="false" ht="15" hidden="false" customHeight="false" outlineLevel="0" collapsed="false">
      <c r="B57" s="25"/>
      <c r="C57" s="19"/>
      <c r="D57" s="19"/>
      <c r="F57" s="31" t="n">
        <f aca="false">IF(26&lt;=DAY(FimMes),InicioMes+25,"")</f>
        <v>46321</v>
      </c>
      <c r="G57" s="32" t="str">
        <f aca="false">IF(F57="","",CHOOSE(WEEKDAY(F57),"Dom","Seg","Ter","Qua","Qui","Sex","Sáb"))</f>
        <v>Seg</v>
      </c>
      <c r="H57" s="32" t="str">
        <f aca="false">IF(F57="","",IF(OR(WEEKDAY(F57)=1,COUNTIF(Feriados,F57)&gt;0),"Domingo/feriado","Útil"))</f>
        <v>Útil</v>
      </c>
    </row>
    <row r="58" customFormat="false" ht="15" hidden="false" customHeight="false" outlineLevel="0" collapsed="false">
      <c r="B58" s="25"/>
      <c r="C58" s="19"/>
      <c r="D58" s="19"/>
      <c r="F58" s="31" t="n">
        <f aca="false">IF(27&lt;=DAY(FimMes),InicioMes+26,"")</f>
        <v>46322</v>
      </c>
      <c r="G58" s="32" t="str">
        <f aca="false">IF(F58="","",CHOOSE(WEEKDAY(F58),"Dom","Seg","Ter","Qua","Qui","Sex","Sáb"))</f>
        <v>Ter</v>
      </c>
      <c r="H58" s="32" t="str">
        <f aca="false">IF(F58="","",IF(OR(WEEKDAY(F58)=1,COUNTIF(Feriados,F58)&gt;0),"Domingo/feriado","Útil"))</f>
        <v>Útil</v>
      </c>
    </row>
    <row r="59" customFormat="false" ht="15" hidden="false" customHeight="false" outlineLevel="0" collapsed="false">
      <c r="B59" s="25"/>
      <c r="C59" s="19"/>
      <c r="D59" s="19"/>
      <c r="F59" s="31" t="n">
        <f aca="false">IF(28&lt;=DAY(FimMes),InicioMes+27,"")</f>
        <v>46323</v>
      </c>
      <c r="G59" s="32" t="str">
        <f aca="false">IF(F59="","",CHOOSE(WEEKDAY(F59),"Dom","Seg","Ter","Qua","Qui","Sex","Sáb"))</f>
        <v>Qua</v>
      </c>
      <c r="H59" s="32" t="str">
        <f aca="false">IF(F59="","",IF(OR(WEEKDAY(F59)=1,COUNTIF(Feriados,F59)&gt;0),"Domingo/feriado","Útil"))</f>
        <v>Útil</v>
      </c>
    </row>
    <row r="60" customFormat="false" ht="15" hidden="false" customHeight="false" outlineLevel="0" collapsed="false">
      <c r="B60" s="25"/>
      <c r="C60" s="19"/>
      <c r="D60" s="19"/>
      <c r="F60" s="31" t="n">
        <f aca="false">IF(29&lt;=DAY(FimMes),InicioMes+28,"")</f>
        <v>46324</v>
      </c>
      <c r="G60" s="32" t="str">
        <f aca="false">IF(F60="","",CHOOSE(WEEKDAY(F60),"Dom","Seg","Ter","Qua","Qui","Sex","Sáb"))</f>
        <v>Qui</v>
      </c>
      <c r="H60" s="32" t="str">
        <f aca="false">IF(F60="","",IF(OR(WEEKDAY(F60)=1,COUNTIF(Feriados,F60)&gt;0),"Domingo/feriado","Útil"))</f>
        <v>Útil</v>
      </c>
    </row>
    <row r="61" customFormat="false" ht="15" hidden="false" customHeight="false" outlineLevel="0" collapsed="false">
      <c r="B61" s="25"/>
      <c r="C61" s="19"/>
      <c r="D61" s="19"/>
      <c r="F61" s="31" t="n">
        <f aca="false">IF(30&lt;=DAY(FimMes),InicioMes+29,"")</f>
        <v>46325</v>
      </c>
      <c r="G61" s="32" t="str">
        <f aca="false">IF(F61="","",CHOOSE(WEEKDAY(F61),"Dom","Seg","Ter","Qua","Qui","Sex","Sáb"))</f>
        <v>Sex</v>
      </c>
      <c r="H61" s="32" t="str">
        <f aca="false">IF(F61="","",IF(OR(WEEKDAY(F61)=1,COUNTIF(Feriados,F61)&gt;0),"Domingo/feriado","Útil"))</f>
        <v>Útil</v>
      </c>
    </row>
    <row r="62" customFormat="false" ht="15" hidden="false" customHeight="false" outlineLevel="0" collapsed="false">
      <c r="B62" s="25"/>
      <c r="C62" s="19"/>
      <c r="D62" s="19"/>
      <c r="F62" s="31" t="n">
        <f aca="false">IF(31&lt;=DAY(FimMes),InicioMes+30,"")</f>
        <v>46326</v>
      </c>
      <c r="G62" s="32" t="str">
        <f aca="false">IF(F62="","",CHOOSE(WEEKDAY(F62),"Dom","Seg","Ter","Qua","Qui","Sex","Sáb"))</f>
        <v>Sáb</v>
      </c>
      <c r="H62" s="32" t="str">
        <f aca="false">IF(F62="","",IF(OR(WEEKDAY(F62)=1,COUNTIF(Feriados,F62)&gt;0),"Domingo/feriado","Útil"))</f>
        <v>Útil</v>
      </c>
    </row>
    <row r="63" customFormat="false" ht="15" hidden="false" customHeight="false" outlineLevel="0" collapsed="false">
      <c r="B63" s="25"/>
      <c r="C63" s="19"/>
      <c r="D63" s="19"/>
    </row>
    <row r="64" customFormat="false" ht="15" hidden="false" customHeight="false" outlineLevel="0" collapsed="false">
      <c r="B64" s="25"/>
      <c r="C64" s="19"/>
      <c r="D64" s="19"/>
    </row>
    <row r="65" customFormat="false" ht="15" hidden="false" customHeight="false" outlineLevel="0" collapsed="false">
      <c r="B65" s="25"/>
      <c r="C65" s="19"/>
      <c r="D65" s="19"/>
    </row>
    <row r="66" customFormat="false" ht="15" hidden="false" customHeight="false" outlineLevel="0" collapsed="false">
      <c r="B66" s="25"/>
      <c r="C66" s="19"/>
      <c r="D66" s="19"/>
    </row>
    <row r="67" customFormat="false" ht="27.75" hidden="false" customHeight="true" outlineLevel="0" collapsed="false">
      <c r="B67" s="12" t="s">
        <v>121</v>
      </c>
      <c r="C67" s="12"/>
      <c r="D67" s="12"/>
    </row>
  </sheetData>
  <mergeCells count="43">
    <mergeCell ref="B3:D3"/>
    <mergeCell ref="B4:D4"/>
    <mergeCell ref="B11:D11"/>
    <mergeCell ref="B22:D22"/>
    <mergeCell ref="B26:D26"/>
    <mergeCell ref="B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B67:D67"/>
  </mergeCells>
  <conditionalFormatting sqref="F32:H62">
    <cfRule type="expression" priority="2" aboveAverage="0" equalAverage="0" bottom="0" percent="0" rank="0" text="" dxfId="0">
      <formula>$H32="Domingo/feriado"</formula>
    </cfRule>
  </conditionalFormatting>
  <dataValidations count="2">
    <dataValidation allowBlank="true" error="Escolha uma opção da lista." errorStyle="stop" errorTitle="Opção inválida" operator="between" showDropDown="false" showErrorMessage="true" showInputMessage="false" sqref="C17" type="list">
      <formula1>"Sim,Não"</formula1>
      <formula2>0</formula2>
    </dataValidation>
    <dataValidation allowBlank="false" error="Digite um mês de 1 a 12." errorStyle="stop" operator="between" showDropDown="false" showErrorMessage="true" showInputMessage="false" sqref="C6" type="whole">
      <formula1>1</formula1>
      <formula2>12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62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3" ySplit="10" topLeftCell="D11" activePane="bottomRight" state="frozen"/>
      <selection pane="topLeft" activeCell="A1" activeCellId="0" sqref="A1"/>
      <selection pane="topRight" activeCell="D1" activeCellId="0" sqref="D1"/>
      <selection pane="bottomLeft" activeCell="A11" activeCellId="0" sqref="A11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6"/>
    <col collapsed="false" customWidth="true" hidden="false" outlineLevel="0" max="3" min="3" style="0" width="19"/>
    <col collapsed="false" customWidth="true" hidden="false" outlineLevel="0" max="9" min="4" style="0" width="7.5"/>
    <col collapsed="false" customWidth="true" hidden="false" outlineLevel="0" max="11" min="10" style="0" width="10"/>
    <col collapsed="false" customWidth="true" hidden="false" outlineLevel="0" max="12" min="12" style="0" width="11"/>
    <col collapsed="false" customWidth="true" hidden="false" outlineLevel="0" max="13" min="13" style="0" width="10"/>
    <col collapsed="false" customWidth="true" hidden="false" outlineLevel="0" max="15" min="14" style="0" width="10.51"/>
    <col collapsed="false" customWidth="true" hidden="false" outlineLevel="0" max="17" min="16" style="0" width="11"/>
    <col collapsed="false" customWidth="true" hidden="false" outlineLevel="0" max="18" min="18" style="0" width="10.51"/>
    <col collapsed="false" customWidth="true" hidden="false" outlineLevel="0" max="19" min="19" style="0" width="10"/>
    <col collapsed="false" customWidth="true" hidden="false" outlineLevel="0" max="20" min="20" style="0" width="10.51"/>
    <col collapsed="false" customWidth="true" hidden="false" outlineLevel="0" max="21" min="21" style="0" width="11"/>
    <col collapsed="false" customWidth="true" hidden="false" outlineLevel="0" max="22" min="22" style="0" width="52"/>
    <col collapsed="false" customWidth="true" hidden="false" outlineLevel="0" max="23" min="23" style="0" width="2"/>
    <col collapsed="false" customWidth="true" hidden="true" outlineLevel="0" max="36" min="24" style="0" width="13"/>
  </cols>
  <sheetData>
    <row r="1" customFormat="false" ht="27.75" hidden="false" customHeight="true" outlineLevel="0" collapsed="false">
      <c r="A1" s="33" t="str">
        <f aca="false">"Cartão de ponto e cálculo de horas extras  ·  "&amp;Empresa</f>
        <v>Cartão de ponto e cálculo de horas extras  ·  Sua empresa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</row>
    <row r="2" customFormat="false" ht="15" hidden="false" customHeight="false" outlineLevel="0" collapsed="false">
      <c r="A2" s="34" t="str">
        <f aca="false">"Mês de referência: "&amp;TEXT(Mes,"00")&amp;"/"&amp;Ano&amp;"  ·  "&amp;DiasUteis&amp;" dias úteis e "&amp;DiasDescanso&amp;" domingos e feriados  ·  Troque o mês na aba Configuração"</f>
        <v>Mês de referência: 10/2026  ·  26 dias úteis e 5 domingos e feriados  ·  Troque o mês na aba Configuração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4" customFormat="false" ht="15" hidden="false" customHeight="true" outlineLevel="0" collapsed="false">
      <c r="A4" s="35" t="s">
        <v>122</v>
      </c>
      <c r="C4" s="19" t="s">
        <v>123</v>
      </c>
      <c r="D4" s="19"/>
      <c r="E4" s="19"/>
      <c r="F4" s="19"/>
      <c r="H4" s="35" t="s">
        <v>124</v>
      </c>
      <c r="J4" s="21" t="n">
        <v>44</v>
      </c>
      <c r="L4" s="35" t="s">
        <v>125</v>
      </c>
    </row>
    <row r="5" customFormat="false" ht="15" hidden="false" customHeight="true" outlineLevel="0" collapsed="false">
      <c r="A5" s="35" t="s">
        <v>126</v>
      </c>
      <c r="C5" s="19" t="s">
        <v>127</v>
      </c>
      <c r="D5" s="19"/>
      <c r="E5" s="19"/>
      <c r="F5" s="19"/>
      <c r="H5" s="35" t="s">
        <v>128</v>
      </c>
      <c r="J5" s="26" t="n">
        <f aca="false">IF(J4="","",J4*5)</f>
        <v>220</v>
      </c>
      <c r="L5" s="35" t="s">
        <v>109</v>
      </c>
      <c r="M5" s="30" t="s">
        <v>129</v>
      </c>
      <c r="N5" s="30" t="s">
        <v>130</v>
      </c>
      <c r="O5" s="30" t="s">
        <v>131</v>
      </c>
      <c r="P5" s="30" t="s">
        <v>132</v>
      </c>
      <c r="Q5" s="30" t="s">
        <v>133</v>
      </c>
      <c r="R5" s="30" t="s">
        <v>134</v>
      </c>
      <c r="S5" s="30" t="s">
        <v>135</v>
      </c>
    </row>
    <row r="6" customFormat="false" ht="15" hidden="false" customHeight="false" outlineLevel="0" collapsed="false">
      <c r="A6" s="35" t="s">
        <v>136</v>
      </c>
      <c r="C6" s="36" t="n">
        <v>2400</v>
      </c>
      <c r="D6" s="36"/>
      <c r="E6" s="36"/>
      <c r="F6" s="36"/>
      <c r="H6" s="35" t="s">
        <v>52</v>
      </c>
      <c r="J6" s="37" t="n">
        <f aca="false">IF(OR(C6="",J5="",J5=0),0,(C6+C7)/J5)</f>
        <v>10.9090909090909</v>
      </c>
      <c r="L6" s="35" t="s">
        <v>137</v>
      </c>
      <c r="M6" s="24" t="n">
        <v>0</v>
      </c>
      <c r="N6" s="24" t="n">
        <v>0.366666666666667</v>
      </c>
      <c r="O6" s="24" t="n">
        <v>0.366666666666667</v>
      </c>
      <c r="P6" s="24" t="n">
        <v>0.366666666666667</v>
      </c>
      <c r="Q6" s="24" t="n">
        <v>0.366666666666667</v>
      </c>
      <c r="R6" s="24" t="n">
        <v>0.366666666666667</v>
      </c>
      <c r="S6" s="24" t="n">
        <v>0</v>
      </c>
    </row>
    <row r="7" customFormat="false" ht="15" hidden="false" customHeight="false" outlineLevel="0" collapsed="false">
      <c r="A7" s="35" t="s">
        <v>138</v>
      </c>
      <c r="C7" s="36" t="n">
        <v>0</v>
      </c>
      <c r="D7" s="36"/>
      <c r="E7" s="36"/>
      <c r="F7" s="36"/>
      <c r="H7" s="35" t="s">
        <v>139</v>
      </c>
      <c r="J7" s="7" t="s">
        <v>86</v>
      </c>
      <c r="L7" s="35" t="s">
        <v>140</v>
      </c>
      <c r="O7" s="24" t="n">
        <v>0.333333333333333</v>
      </c>
      <c r="P7" s="35" t="s">
        <v>141</v>
      </c>
      <c r="S7" s="24" t="n">
        <v>0.0416666666666667</v>
      </c>
    </row>
    <row r="9" customFormat="false" ht="15" hidden="false" customHeight="true" outlineLevel="0" collapsed="false">
      <c r="A9" s="38" t="s">
        <v>109</v>
      </c>
      <c r="B9" s="38"/>
      <c r="C9" s="38"/>
      <c r="D9" s="38" t="s">
        <v>142</v>
      </c>
      <c r="E9" s="38"/>
      <c r="F9" s="38"/>
      <c r="G9" s="38"/>
      <c r="H9" s="38"/>
      <c r="I9" s="38"/>
      <c r="J9" s="38" t="s">
        <v>143</v>
      </c>
      <c r="K9" s="38"/>
      <c r="L9" s="38"/>
      <c r="M9" s="38"/>
      <c r="N9" s="38" t="s">
        <v>144</v>
      </c>
      <c r="O9" s="38"/>
      <c r="P9" s="38"/>
      <c r="Q9" s="38"/>
      <c r="R9" s="38"/>
      <c r="S9" s="38" t="s">
        <v>145</v>
      </c>
      <c r="T9" s="38"/>
      <c r="U9" s="38"/>
      <c r="V9" s="39"/>
    </row>
    <row r="10" customFormat="false" ht="36" hidden="false" customHeight="true" outlineLevel="0" collapsed="false">
      <c r="A10" s="40" t="s">
        <v>107</v>
      </c>
      <c r="B10" s="40" t="s">
        <v>109</v>
      </c>
      <c r="C10" s="40" t="s">
        <v>146</v>
      </c>
      <c r="D10" s="40" t="s">
        <v>147</v>
      </c>
      <c r="E10" s="40" t="s">
        <v>148</v>
      </c>
      <c r="F10" s="40" t="s">
        <v>149</v>
      </c>
      <c r="G10" s="40" t="s">
        <v>150</v>
      </c>
      <c r="H10" s="40" t="s">
        <v>151</v>
      </c>
      <c r="I10" s="40" t="s">
        <v>152</v>
      </c>
      <c r="J10" s="40" t="s">
        <v>153</v>
      </c>
      <c r="K10" s="40" t="s">
        <v>154</v>
      </c>
      <c r="L10" s="40" t="s">
        <v>155</v>
      </c>
      <c r="M10" s="40" t="s">
        <v>156</v>
      </c>
      <c r="N10" s="40" t="str">
        <f aca="false">"HE até "&amp;TEXT(LimiteHE1,"h:mm")&amp;"h ("&amp;TEXT(PctHE1,"0%")&amp;")"</f>
        <v>HE até 2:00h (50%)</v>
      </c>
      <c r="O10" s="40" t="str">
        <f aca="false">"HE acima ("&amp;TEXT(PctHE2,"0%")&amp;")"</f>
        <v>HE acima (50%)</v>
      </c>
      <c r="P10" s="40" t="str">
        <f aca="false">"HE dom./feriado ("&amp;TEXT(PctHE100,"0%")&amp;")"</f>
        <v>HE dom./feriado (100%)</v>
      </c>
      <c r="Q10" s="40" t="s">
        <v>157</v>
      </c>
      <c r="R10" s="40" t="s">
        <v>158</v>
      </c>
      <c r="S10" s="40" t="s">
        <v>159</v>
      </c>
      <c r="T10" s="40" t="s">
        <v>160</v>
      </c>
      <c r="U10" s="40" t="s">
        <v>161</v>
      </c>
      <c r="V10" s="40" t="s">
        <v>162</v>
      </c>
    </row>
    <row r="11" customFormat="false" ht="16.5" hidden="false" customHeight="true" outlineLevel="0" collapsed="false">
      <c r="A11" s="31" t="n">
        <f aca="false">IF(ROW()-10&lt;=DAY(FimMes),InicioMes+ROW()-11,"")</f>
        <v>46296</v>
      </c>
      <c r="B11" s="32" t="str">
        <f aca="false">IF(A11="","",CHOOSE(WEEKDAY(A11),"Dom","Seg","Ter","Qua","Qui","Sex","Sáb"))</f>
        <v>Qui</v>
      </c>
      <c r="C11" s="41"/>
      <c r="D11" s="42" t="n">
        <v>0.333333333333333</v>
      </c>
      <c r="E11" s="42" t="n">
        <v>0.5</v>
      </c>
      <c r="F11" s="42" t="n">
        <v>0.541666666666667</v>
      </c>
      <c r="G11" s="42" t="n">
        <v>0.741666666666667</v>
      </c>
      <c r="H11" s="42"/>
      <c r="I11" s="42"/>
      <c r="J11" s="32" t="str">
        <f aca="false">IF(A11="","",IF(OR(C11="Folga (DSR)",C11="Feriado"),"Descanso",IF(OR(C11="Atestado / abonado",C11="Férias",C11="Compensação (banco)"),"Abonado",IF(C11="Trabalho em escala","Útil",AE11))))</f>
        <v>Útil</v>
      </c>
      <c r="K11" s="43" t="n">
        <f aca="false">IF(A11="",0,ROUND((X11+Y11+Z11-AD11)*1440,0)/1440)</f>
        <v>0.366666666666667</v>
      </c>
      <c r="L11" s="43" t="n">
        <f aca="false">IF(A11="",0,K11+IF(HoraReduzida="Sim",ROUND((AA11+AB11+AC11)/7*1440,0)/1440,0))</f>
        <v>0.366666666666667</v>
      </c>
      <c r="M11" s="43" t="n">
        <f aca="false">IF(OR(A11="",J11&lt;&gt;"Útil"),0,IF(C11="Trabalho em escala",$O$7,INDEX($M$6:$S$6,WEEKDAY(A11))))</f>
        <v>0.366666666666667</v>
      </c>
      <c r="N11" s="44" t="n">
        <f aca="false">MIN(AF11,LimiteHE1)</f>
        <v>0</v>
      </c>
      <c r="O11" s="44" t="n">
        <f aca="false">AF11-N11</f>
        <v>0</v>
      </c>
      <c r="P11" s="44" t="n">
        <f aca="false">IF(J11="Descanso",L11,0)</f>
        <v>0</v>
      </c>
      <c r="Q11" s="43" t="n">
        <f aca="false">IF(A11="",0,ROUND((AA11+AB11+AC11)*IF(HoraReduzida="Sim",8/7,1)*1440,0)/1440)</f>
        <v>0</v>
      </c>
      <c r="R11" s="43" t="n">
        <f aca="false">IF(J11="Descanso",Q11,MIN(Q11,AF11))</f>
        <v>0</v>
      </c>
      <c r="S11" s="45" t="n">
        <f aca="false">IF(OR(J11&lt;&gt;"Útil",AND(K11=0,C11="",A11&gt;DataRef)),0,IF(M11-L11&gt;Tolerancia+1/86400,M11-L11,0))</f>
        <v>0</v>
      </c>
      <c r="T11" s="43" t="n">
        <f aca="false">IF(OR($J$7&lt;&gt;"Sim",A11=""),0,IF(K11&gt;6/24+1/86400,IF(1/24-AI11&gt;TolIntervalo+1/86400,1/24-AI11,0),IF(K11&gt;4/24+1/86400,IF(15/1440-AI11&gt;TolIntervalo+1/86400,15/1440-AI11,0),0)))</f>
        <v>0</v>
      </c>
      <c r="U11" s="43" t="n">
        <f aca="false">0</f>
        <v>0</v>
      </c>
      <c r="V11" s="46" t="str">
        <f aca="false">IF(AJ11="","",LEFT(AJ11,LEN(AJ11)-2))</f>
        <v/>
      </c>
      <c r="X11" s="47" t="n">
        <f aca="false">IF(OR(D11="",E11=""),0,MOD(E11-D11,1))</f>
        <v>0.166666666666667</v>
      </c>
      <c r="Y11" s="47" t="n">
        <f aca="false">IF(OR(F11="",G11=""),0,MOD(G11-F11,1))</f>
        <v>0.2</v>
      </c>
      <c r="Z11" s="47" t="n">
        <f aca="false">IF(OR(H11="",I11=""),0,MOD(I11-H11,1))</f>
        <v>0</v>
      </c>
      <c r="AA11" s="47" t="n">
        <f aca="false">IF(X11=0,0,MAX(0,MIN(D11+X11,5/24)-D11)+MAX(0,MIN(D11+X11,29/24)-MAX(D11,22/24)))</f>
        <v>0</v>
      </c>
      <c r="AB11" s="47" t="n">
        <f aca="false">IF(Y11=0,0,MAX(0,MIN(F11+Y11,5/24)-F11)+MAX(0,MIN(F11+Y11,29/24)-MAX(F11,22/24)))</f>
        <v>0</v>
      </c>
      <c r="AC11" s="47" t="n">
        <f aca="false">IF(Z11=0,0,MAX(0,MIN(H11+Z11,5/24)-H11)+MAX(0,MIN(H11+Z11,29/24)-MAX(H11,22/24)))</f>
        <v>0</v>
      </c>
      <c r="AD11" s="47" t="n">
        <f aca="false">IF(AND($J$7="Não",F11="",H11="",X11&gt;6/24),$S$7,0)</f>
        <v>0</v>
      </c>
      <c r="AE11" s="48" t="str">
        <f aca="false">IF(A11="","",IF(OR(WEEKDAY(A11)=1,COUNTIF(Feriados,A11)&gt;0),"Descanso","Útil"))</f>
        <v>Útil</v>
      </c>
      <c r="AF11" s="47" t="n">
        <f aca="false">IF(J11&lt;&gt;"Útil",0,IF(L11-M11&gt;Tolerancia+1/86400,L11-M11,0))</f>
        <v>0</v>
      </c>
      <c r="AG11" s="49" t="n">
        <f aca="false">IF(OR(A11="",D11=""),"",A11+D11)</f>
        <v>46296.3333333333</v>
      </c>
      <c r="AH11" s="49" t="n">
        <f aca="false">IF(A11="","",IF(AND(H11&lt;&gt;"",I11&lt;&gt;""),A11+I11+IF(I11&lt;D11,1,0),IF(AND(F11&lt;&gt;"",G11&lt;&gt;""),A11+G11+IF(G11&lt;D11,1,0),IF(AND(D11&lt;&gt;"",E11&lt;&gt;""),A11+E11+IF(E11&lt;D11,1,0),""))))</f>
        <v>46296.7416666667</v>
      </c>
      <c r="AI11" s="47" t="n">
        <f aca="false">IF(AND(E11&lt;&gt;"",F11&lt;&gt;""),MOD(F11-E11,1),0)</f>
        <v>0.0416666666666667</v>
      </c>
      <c r="AJ11" s="48" t="str">
        <f aca="false">IF(A11="","",IF(OR(AND(D11&lt;&gt;"",E11=""),AND(D11="",E11&lt;&gt;""),AND(F11&lt;&gt;"",G11=""),AND(F11="",G11&lt;&gt;""),AND(H11&lt;&gt;"",I11=""),AND(H11="",I11&lt;&gt;"")),"Marcação incompleta; ","")&amp;IF(AND(J11="Útil",M11&gt;0,K11=0,C11="",A11&lt;=DataRef),"Sem marcações no dia; ","")&amp;IF(T11&gt;0,"Intervalo abaixo do mínimo; ","")&amp;IF(U11&gt;0,"Descanso entre jornadas menor que 11h; ","")&amp;IF(AF11&gt;2/24+1/86400,"Mais de 2h extras no dia (CLT, art. 59); ","")&amp;IF(C11="Falta injustificada","Falta injustificada: pode descontar o DSR da semana; ","")&amp;IF(AND(J11="Abonado",K11&gt;0),"Horas marcadas em dia abonado; ",""))</f>
        <v/>
      </c>
    </row>
    <row r="12" customFormat="false" ht="16.5" hidden="false" customHeight="true" outlineLevel="0" collapsed="false">
      <c r="A12" s="31" t="n">
        <f aca="false">IF(ROW()-10&lt;=DAY(FimMes),InicioMes+ROW()-11,"")</f>
        <v>46297</v>
      </c>
      <c r="B12" s="32" t="str">
        <f aca="false">IF(A12="","",CHOOSE(WEEKDAY(A12),"Dom","Seg","Ter","Qua","Qui","Sex","Sáb"))</f>
        <v>Sex</v>
      </c>
      <c r="C12" s="41"/>
      <c r="D12" s="42" t="n">
        <v>0.33125</v>
      </c>
      <c r="E12" s="42" t="n">
        <v>0.501388888888889</v>
      </c>
      <c r="F12" s="42" t="n">
        <v>0.542361111111111</v>
      </c>
      <c r="G12" s="42" t="n">
        <v>0.74375</v>
      </c>
      <c r="H12" s="42"/>
      <c r="I12" s="42"/>
      <c r="J12" s="32" t="str">
        <f aca="false">IF(A12="","",IF(OR(C12="Folga (DSR)",C12="Feriado"),"Descanso",IF(OR(C12="Atestado / abonado",C12="Férias",C12="Compensação (banco)"),"Abonado",IF(C12="Trabalho em escala","Útil",AE12))))</f>
        <v>Útil</v>
      </c>
      <c r="K12" s="43" t="n">
        <f aca="false">IF(A12="",0,ROUND((X12+Y12+Z12-AD12)*1440,0)/1440)</f>
        <v>0.371527777777778</v>
      </c>
      <c r="L12" s="43" t="n">
        <f aca="false">IF(A12="",0,K12+IF(HoraReduzida="Sim",ROUND((AA12+AB12+AC12)/7*1440,0)/1440,0))</f>
        <v>0.371527777777778</v>
      </c>
      <c r="M12" s="43" t="n">
        <f aca="false">IF(OR(A12="",J12&lt;&gt;"Útil"),0,IF(C12="Trabalho em escala",$O$7,INDEX($M$6:$S$6,WEEKDAY(A12))))</f>
        <v>0.366666666666667</v>
      </c>
      <c r="N12" s="44" t="n">
        <f aca="false">MIN(AF12,LimiteHE1)</f>
        <v>0</v>
      </c>
      <c r="O12" s="44" t="n">
        <f aca="false">AF12-N12</f>
        <v>0</v>
      </c>
      <c r="P12" s="44" t="n">
        <f aca="false">IF(J12="Descanso",L12,0)</f>
        <v>0</v>
      </c>
      <c r="Q12" s="43" t="n">
        <f aca="false">IF(A12="",0,ROUND((AA12+AB12+AC12)*IF(HoraReduzida="Sim",8/7,1)*1440,0)/1440)</f>
        <v>0</v>
      </c>
      <c r="R12" s="43" t="n">
        <f aca="false">IF(J12="Descanso",Q12,MIN(Q12,AF12))</f>
        <v>0</v>
      </c>
      <c r="S12" s="45" t="n">
        <f aca="false">IF(OR(J12&lt;&gt;"Útil",AND(K12=0,C12="",A12&gt;DataRef)),0,IF(M12-L12&gt;Tolerancia+1/86400,M12-L12,0))</f>
        <v>0</v>
      </c>
      <c r="T12" s="43" t="n">
        <f aca="false">IF(OR($J$7&lt;&gt;"Sim",A12=""),0,IF(K12&gt;6/24+1/86400,IF(1/24-AI12&gt;TolIntervalo+1/86400,1/24-AI12,0),IF(K12&gt;4/24+1/86400,IF(15/1440-AI12&gt;TolIntervalo+1/86400,15/1440-AI12,0),0)))</f>
        <v>0</v>
      </c>
      <c r="U12" s="43" t="n">
        <f aca="false">IF(OR(AG12="",AH11=""),0,MAX(0,ROUND((11/24-(AG12-AH11))*1440,0)/1440))</f>
        <v>0</v>
      </c>
      <c r="V12" s="46" t="str">
        <f aca="false">IF(AJ12="","",LEFT(AJ12,LEN(AJ12)-2))</f>
        <v/>
      </c>
      <c r="X12" s="47" t="n">
        <f aca="false">IF(OR(D12="",E12=""),0,MOD(E12-D12,1))</f>
        <v>0.170138888888889</v>
      </c>
      <c r="Y12" s="47" t="n">
        <f aca="false">IF(OR(F12="",G12=""),0,MOD(G12-F12,1))</f>
        <v>0.201388888888889</v>
      </c>
      <c r="Z12" s="47" t="n">
        <f aca="false">IF(OR(H12="",I12=""),0,MOD(I12-H12,1))</f>
        <v>0</v>
      </c>
      <c r="AA12" s="47" t="n">
        <f aca="false">IF(X12=0,0,MAX(0,MIN(D12+X12,5/24)-D12)+MAX(0,MIN(D12+X12,29/24)-MAX(D12,22/24)))</f>
        <v>0</v>
      </c>
      <c r="AB12" s="47" t="n">
        <f aca="false">IF(Y12=0,0,MAX(0,MIN(F12+Y12,5/24)-F12)+MAX(0,MIN(F12+Y12,29/24)-MAX(F12,22/24)))</f>
        <v>0</v>
      </c>
      <c r="AC12" s="47" t="n">
        <f aca="false">IF(Z12=0,0,MAX(0,MIN(H12+Z12,5/24)-H12)+MAX(0,MIN(H12+Z12,29/24)-MAX(H12,22/24)))</f>
        <v>0</v>
      </c>
      <c r="AD12" s="47" t="n">
        <f aca="false">IF(AND($J$7="Não",F12="",H12="",X12&gt;6/24),$S$7,0)</f>
        <v>0</v>
      </c>
      <c r="AE12" s="48" t="str">
        <f aca="false">IF(A12="","",IF(OR(WEEKDAY(A12)=1,COUNTIF(Feriados,A12)&gt;0),"Descanso","Útil"))</f>
        <v>Útil</v>
      </c>
      <c r="AF12" s="47" t="n">
        <f aca="false">IF(J12&lt;&gt;"Útil",0,IF(L12-M12&gt;Tolerancia+1/86400,L12-M12,0))</f>
        <v>0</v>
      </c>
      <c r="AG12" s="49" t="n">
        <f aca="false">IF(OR(A12="",D12=""),"",A12+D12)</f>
        <v>46297.33125</v>
      </c>
      <c r="AH12" s="49" t="n">
        <f aca="false">IF(A12="","",IF(AND(H12&lt;&gt;"",I12&lt;&gt;""),A12+I12+IF(I12&lt;D12,1,0),IF(AND(F12&lt;&gt;"",G12&lt;&gt;""),A12+G12+IF(G12&lt;D12,1,0),IF(AND(D12&lt;&gt;"",E12&lt;&gt;""),A12+E12+IF(E12&lt;D12,1,0),""))))</f>
        <v>46297.74375</v>
      </c>
      <c r="AI12" s="47" t="n">
        <f aca="false">IF(AND(E12&lt;&gt;"",F12&lt;&gt;""),MOD(F12-E12,1),0)</f>
        <v>0.0409722222222222</v>
      </c>
      <c r="AJ12" s="48" t="str">
        <f aca="false">IF(A12="","",IF(OR(AND(D12&lt;&gt;"",E12=""),AND(D12="",E12&lt;&gt;""),AND(F12&lt;&gt;"",G12=""),AND(F12="",G12&lt;&gt;""),AND(H12&lt;&gt;"",I12=""),AND(H12="",I12&lt;&gt;"")),"Marcação incompleta; ","")&amp;IF(AND(J12="Útil",M12&gt;0,K12=0,C12="",A12&lt;=DataRef),"Sem marcações no dia; ","")&amp;IF(T12&gt;0,"Intervalo abaixo do mínimo; ","")&amp;IF(U12&gt;0,"Descanso entre jornadas menor que 11h; ","")&amp;IF(AF12&gt;2/24+1/86400,"Mais de 2h extras no dia (CLT, art. 59); ","")&amp;IF(C12="Falta injustificada","Falta injustificada: pode descontar o DSR da semana; ","")&amp;IF(AND(J12="Abonado",K12&gt;0),"Horas marcadas em dia abonado; ",""))</f>
        <v/>
      </c>
    </row>
    <row r="13" customFormat="false" ht="16.5" hidden="false" customHeight="true" outlineLevel="0" collapsed="false">
      <c r="A13" s="31" t="n">
        <f aca="false">IF(ROW()-10&lt;=DAY(FimMes),InicioMes+ROW()-11,"")</f>
        <v>46298</v>
      </c>
      <c r="B13" s="32" t="str">
        <f aca="false">IF(A13="","",CHOOSE(WEEKDAY(A13),"Dom","Seg","Ter","Qua","Qui","Sex","Sáb"))</f>
        <v>Sáb</v>
      </c>
      <c r="C13" s="41"/>
      <c r="D13" s="42" t="n">
        <v>0.333333333333333</v>
      </c>
      <c r="E13" s="42" t="n">
        <v>0.5</v>
      </c>
      <c r="F13" s="42"/>
      <c r="G13" s="42"/>
      <c r="H13" s="42"/>
      <c r="I13" s="42"/>
      <c r="J13" s="32" t="str">
        <f aca="false">IF(A13="","",IF(OR(C13="Folga (DSR)",C13="Feriado"),"Descanso",IF(OR(C13="Atestado / abonado",C13="Férias",C13="Compensação (banco)"),"Abonado",IF(C13="Trabalho em escala","Útil",AE13))))</f>
        <v>Útil</v>
      </c>
      <c r="K13" s="43" t="n">
        <f aca="false">IF(A13="",0,ROUND((X13+Y13+Z13-AD13)*1440,0)/1440)</f>
        <v>0.166666666666667</v>
      </c>
      <c r="L13" s="43" t="n">
        <f aca="false">IF(A13="",0,K13+IF(HoraReduzida="Sim",ROUND((AA13+AB13+AC13)/7*1440,0)/1440,0))</f>
        <v>0.166666666666667</v>
      </c>
      <c r="M13" s="43" t="n">
        <f aca="false">IF(OR(A13="",J13&lt;&gt;"Útil"),0,IF(C13="Trabalho em escala",$O$7,INDEX($M$6:$S$6,WEEKDAY(A13))))</f>
        <v>0</v>
      </c>
      <c r="N13" s="44" t="n">
        <f aca="false">MIN(AF13,LimiteHE1)</f>
        <v>0.0833333333333333</v>
      </c>
      <c r="O13" s="44" t="n">
        <f aca="false">AF13-N13</f>
        <v>0.0833333333333333</v>
      </c>
      <c r="P13" s="44" t="n">
        <f aca="false">IF(J13="Descanso",L13,0)</f>
        <v>0</v>
      </c>
      <c r="Q13" s="43" t="n">
        <f aca="false">IF(A13="",0,ROUND((AA13+AB13+AC13)*IF(HoraReduzida="Sim",8/7,1)*1440,0)/1440)</f>
        <v>0</v>
      </c>
      <c r="R13" s="43" t="n">
        <f aca="false">IF(J13="Descanso",Q13,MIN(Q13,AF13))</f>
        <v>0</v>
      </c>
      <c r="S13" s="45" t="n">
        <f aca="false">IF(OR(J13&lt;&gt;"Útil",AND(K13=0,C13="",A13&gt;DataRef)),0,IF(M13-L13&gt;Tolerancia+1/86400,M13-L13,0))</f>
        <v>0</v>
      </c>
      <c r="T13" s="43" t="n">
        <f aca="false">IF(OR($J$7&lt;&gt;"Sim",A13=""),0,IF(K13&gt;6/24+1/86400,IF(1/24-AI13&gt;TolIntervalo+1/86400,1/24-AI13,0),IF(K13&gt;4/24+1/86400,IF(15/1440-AI13&gt;TolIntervalo+1/86400,15/1440-AI13,0),0)))</f>
        <v>0</v>
      </c>
      <c r="U13" s="43" t="n">
        <f aca="false">IF(OR(AG13="",AH12=""),0,MAX(0,ROUND((11/24-(AG13-AH12))*1440,0)/1440))</f>
        <v>0</v>
      </c>
      <c r="V13" s="46" t="str">
        <f aca="false">IF(AJ13="","",LEFT(AJ13,LEN(AJ13)-2))</f>
        <v>Mais de 2h extras no dia (CLT, art. 59)</v>
      </c>
      <c r="X13" s="47" t="n">
        <f aca="false">IF(OR(D13="",E13=""),0,MOD(E13-D13,1))</f>
        <v>0.166666666666667</v>
      </c>
      <c r="Y13" s="47" t="n">
        <f aca="false">IF(OR(F13="",G13=""),0,MOD(G13-F13,1))</f>
        <v>0</v>
      </c>
      <c r="Z13" s="47" t="n">
        <f aca="false">IF(OR(H13="",I13=""),0,MOD(I13-H13,1))</f>
        <v>0</v>
      </c>
      <c r="AA13" s="47" t="n">
        <f aca="false">IF(X13=0,0,MAX(0,MIN(D13+X13,5/24)-D13)+MAX(0,MIN(D13+X13,29/24)-MAX(D13,22/24)))</f>
        <v>0</v>
      </c>
      <c r="AB13" s="47" t="n">
        <f aca="false">IF(Y13=0,0,MAX(0,MIN(F13+Y13,5/24)-F13)+MAX(0,MIN(F13+Y13,29/24)-MAX(F13,22/24)))</f>
        <v>0</v>
      </c>
      <c r="AC13" s="47" t="n">
        <f aca="false">IF(Z13=0,0,MAX(0,MIN(H13+Z13,5/24)-H13)+MAX(0,MIN(H13+Z13,29/24)-MAX(H13,22/24)))</f>
        <v>0</v>
      </c>
      <c r="AD13" s="47" t="n">
        <f aca="false">IF(AND($J$7="Não",F13="",H13="",X13&gt;6/24),$S$7,0)</f>
        <v>0</v>
      </c>
      <c r="AE13" s="48" t="str">
        <f aca="false">IF(A13="","",IF(OR(WEEKDAY(A13)=1,COUNTIF(Feriados,A13)&gt;0),"Descanso","Útil"))</f>
        <v>Útil</v>
      </c>
      <c r="AF13" s="47" t="n">
        <f aca="false">IF(J13&lt;&gt;"Útil",0,IF(L13-M13&gt;Tolerancia+1/86400,L13-M13,0))</f>
        <v>0.166666666666667</v>
      </c>
      <c r="AG13" s="49" t="n">
        <f aca="false">IF(OR(A13="",D13=""),"",A13+D13)</f>
        <v>46298.3333333333</v>
      </c>
      <c r="AH13" s="49" t="n">
        <f aca="false">IF(A13="","",IF(AND(H13&lt;&gt;"",I13&lt;&gt;""),A13+I13+IF(I13&lt;D13,1,0),IF(AND(F13&lt;&gt;"",G13&lt;&gt;""),A13+G13+IF(G13&lt;D13,1,0),IF(AND(D13&lt;&gt;"",E13&lt;&gt;""),A13+E13+IF(E13&lt;D13,1,0),""))))</f>
        <v>46298.5</v>
      </c>
      <c r="AI13" s="47" t="n">
        <f aca="false">IF(AND(E13&lt;&gt;"",F13&lt;&gt;""),MOD(F13-E13,1),0)</f>
        <v>0</v>
      </c>
      <c r="AJ13" s="48" t="str">
        <f aca="false">IF(A13="","",IF(OR(AND(D13&lt;&gt;"",E13=""),AND(D13="",E13&lt;&gt;""),AND(F13&lt;&gt;"",G13=""),AND(F13="",G13&lt;&gt;""),AND(H13&lt;&gt;"",I13=""),AND(H13="",I13&lt;&gt;"")),"Marcação incompleta; ","")&amp;IF(AND(J13="Útil",M13&gt;0,K13=0,C13="",A13&lt;=DataRef),"Sem marcações no dia; ","")&amp;IF(T13&gt;0,"Intervalo abaixo do mínimo; ","")&amp;IF(U13&gt;0,"Descanso entre jornadas menor que 11h; ","")&amp;IF(AF13&gt;2/24+1/86400,"Mais de 2h extras no dia (CLT, art. 59); ","")&amp;IF(C13="Falta injustificada","Falta injustificada: pode descontar o DSR da semana; ","")&amp;IF(AND(J13="Abonado",K13&gt;0),"Horas marcadas em dia abonado; ",""))</f>
        <v>Mais de 2h extras no dia (CLT, art. 59); </v>
      </c>
    </row>
    <row r="14" customFormat="false" ht="16.5" hidden="false" customHeight="true" outlineLevel="0" collapsed="false">
      <c r="A14" s="31" t="n">
        <f aca="false">IF(ROW()-10&lt;=DAY(FimMes),InicioMes+ROW()-11,"")</f>
        <v>46299</v>
      </c>
      <c r="B14" s="32" t="str">
        <f aca="false">IF(A14="","",CHOOSE(WEEKDAY(A14),"Dom","Seg","Ter","Qua","Qui","Sex","Sáb"))</f>
        <v>Dom</v>
      </c>
      <c r="C14" s="41"/>
      <c r="D14" s="42"/>
      <c r="E14" s="42"/>
      <c r="F14" s="42"/>
      <c r="G14" s="42"/>
      <c r="H14" s="42"/>
      <c r="I14" s="42"/>
      <c r="J14" s="32" t="str">
        <f aca="false">IF(A14="","",IF(OR(C14="Folga (DSR)",C14="Feriado"),"Descanso",IF(OR(C14="Atestado / abonado",C14="Férias",C14="Compensação (banco)"),"Abonado",IF(C14="Trabalho em escala","Útil",AE14))))</f>
        <v>Descanso</v>
      </c>
      <c r="K14" s="43" t="n">
        <f aca="false">IF(A14="",0,ROUND((X14+Y14+Z14-AD14)*1440,0)/1440)</f>
        <v>0</v>
      </c>
      <c r="L14" s="43" t="n">
        <f aca="false">IF(A14="",0,K14+IF(HoraReduzida="Sim",ROUND((AA14+AB14+AC14)/7*1440,0)/1440,0))</f>
        <v>0</v>
      </c>
      <c r="M14" s="43" t="n">
        <f aca="false">IF(OR(A14="",J14&lt;&gt;"Útil"),0,IF(C14="Trabalho em escala",$O$7,INDEX($M$6:$S$6,WEEKDAY(A14))))</f>
        <v>0</v>
      </c>
      <c r="N14" s="44" t="n">
        <f aca="false">MIN(AF14,LimiteHE1)</f>
        <v>0</v>
      </c>
      <c r="O14" s="44" t="n">
        <f aca="false">AF14-N14</f>
        <v>0</v>
      </c>
      <c r="P14" s="44" t="n">
        <f aca="false">IF(J14="Descanso",L14,0)</f>
        <v>0</v>
      </c>
      <c r="Q14" s="43" t="n">
        <f aca="false">IF(A14="",0,ROUND((AA14+AB14+AC14)*IF(HoraReduzida="Sim",8/7,1)*1440,0)/1440)</f>
        <v>0</v>
      </c>
      <c r="R14" s="43" t="n">
        <f aca="false">IF(J14="Descanso",Q14,MIN(Q14,AF14))</f>
        <v>0</v>
      </c>
      <c r="S14" s="45" t="n">
        <f aca="false">IF(OR(J14&lt;&gt;"Útil",AND(K14=0,C14="",A14&gt;DataRef)),0,IF(M14-L14&gt;Tolerancia+1/86400,M14-L14,0))</f>
        <v>0</v>
      </c>
      <c r="T14" s="43" t="n">
        <f aca="false">IF(OR($J$7&lt;&gt;"Sim",A14=""),0,IF(K14&gt;6/24+1/86400,IF(1/24-AI14&gt;TolIntervalo+1/86400,1/24-AI14,0),IF(K14&gt;4/24+1/86400,IF(15/1440-AI14&gt;TolIntervalo+1/86400,15/1440-AI14,0),0)))</f>
        <v>0</v>
      </c>
      <c r="U14" s="43" t="n">
        <f aca="false">IF(OR(AG14="",AH13=""),0,MAX(0,ROUND((11/24-(AG14-AH13))*1440,0)/1440))</f>
        <v>0</v>
      </c>
      <c r="V14" s="46" t="str">
        <f aca="false">IF(AJ14="","",LEFT(AJ14,LEN(AJ14)-2))</f>
        <v/>
      </c>
      <c r="X14" s="47" t="n">
        <f aca="false">IF(OR(D14="",E14=""),0,MOD(E14-D14,1))</f>
        <v>0</v>
      </c>
      <c r="Y14" s="47" t="n">
        <f aca="false">IF(OR(F14="",G14=""),0,MOD(G14-F14,1))</f>
        <v>0</v>
      </c>
      <c r="Z14" s="47" t="n">
        <f aca="false">IF(OR(H14="",I14=""),0,MOD(I14-H14,1))</f>
        <v>0</v>
      </c>
      <c r="AA14" s="47" t="n">
        <f aca="false">IF(X14=0,0,MAX(0,MIN(D14+X14,5/24)-D14)+MAX(0,MIN(D14+X14,29/24)-MAX(D14,22/24)))</f>
        <v>0</v>
      </c>
      <c r="AB14" s="47" t="n">
        <f aca="false">IF(Y14=0,0,MAX(0,MIN(F14+Y14,5/24)-F14)+MAX(0,MIN(F14+Y14,29/24)-MAX(F14,22/24)))</f>
        <v>0</v>
      </c>
      <c r="AC14" s="47" t="n">
        <f aca="false">IF(Z14=0,0,MAX(0,MIN(H14+Z14,5/24)-H14)+MAX(0,MIN(H14+Z14,29/24)-MAX(H14,22/24)))</f>
        <v>0</v>
      </c>
      <c r="AD14" s="47" t="n">
        <f aca="false">IF(AND($J$7="Não",F14="",H14="",X14&gt;6/24),$S$7,0)</f>
        <v>0</v>
      </c>
      <c r="AE14" s="48" t="str">
        <f aca="false">IF(A14="","",IF(OR(WEEKDAY(A14)=1,COUNTIF(Feriados,A14)&gt;0),"Descanso","Útil"))</f>
        <v>Descanso</v>
      </c>
      <c r="AF14" s="47" t="n">
        <f aca="false">IF(J14&lt;&gt;"Útil",0,IF(L14-M14&gt;Tolerancia+1/86400,L14-M14,0))</f>
        <v>0</v>
      </c>
      <c r="AG14" s="49" t="str">
        <f aca="false">IF(OR(A14="",D14=""),"",A14+D14)</f>
        <v/>
      </c>
      <c r="AH14" s="49" t="str">
        <f aca="false">IF(A14="","",IF(AND(H14&lt;&gt;"",I14&lt;&gt;""),A14+I14+IF(I14&lt;D14,1,0),IF(AND(F14&lt;&gt;"",G14&lt;&gt;""),A14+G14+IF(G14&lt;D14,1,0),IF(AND(D14&lt;&gt;"",E14&lt;&gt;""),A14+E14+IF(E14&lt;D14,1,0),""))))</f>
        <v/>
      </c>
      <c r="AI14" s="47" t="n">
        <f aca="false">IF(AND(E14&lt;&gt;"",F14&lt;&gt;""),MOD(F14-E14,1),0)</f>
        <v>0</v>
      </c>
      <c r="AJ14" s="48" t="str">
        <f aca="false">IF(A14="","",IF(OR(AND(D14&lt;&gt;"",E14=""),AND(D14="",E14&lt;&gt;""),AND(F14&lt;&gt;"",G14=""),AND(F14="",G14&lt;&gt;""),AND(H14&lt;&gt;"",I14=""),AND(H14="",I14&lt;&gt;"")),"Marcação incompleta; ","")&amp;IF(AND(J14="Útil",M14&gt;0,K14=0,C14="",A14&lt;=DataRef),"Sem marcações no dia; ","")&amp;IF(T14&gt;0,"Intervalo abaixo do mínimo; ","")&amp;IF(U14&gt;0,"Descanso entre jornadas menor que 11h; ","")&amp;IF(AF14&gt;2/24+1/86400,"Mais de 2h extras no dia (CLT, art. 59); ","")&amp;IF(C14="Falta injustificada","Falta injustificada: pode descontar o DSR da semana; ","")&amp;IF(AND(J14="Abonado",K14&gt;0),"Horas marcadas em dia abonado; ",""))</f>
        <v/>
      </c>
    </row>
    <row r="15" customFormat="false" ht="16.5" hidden="false" customHeight="true" outlineLevel="0" collapsed="false">
      <c r="A15" s="31" t="n">
        <f aca="false">IF(ROW()-10&lt;=DAY(FimMes),InicioMes+ROW()-11,"")</f>
        <v>46300</v>
      </c>
      <c r="B15" s="32" t="str">
        <f aca="false">IF(A15="","",CHOOSE(WEEKDAY(A15),"Dom","Seg","Ter","Qua","Qui","Sex","Sáb"))</f>
        <v>Seg</v>
      </c>
      <c r="C15" s="41"/>
      <c r="D15" s="42" t="n">
        <v>0.333333333333333</v>
      </c>
      <c r="E15" s="42" t="n">
        <v>0.5</v>
      </c>
      <c r="F15" s="42" t="n">
        <v>0.541666666666667</v>
      </c>
      <c r="G15" s="42" t="n">
        <v>0.825</v>
      </c>
      <c r="H15" s="42"/>
      <c r="I15" s="42"/>
      <c r="J15" s="32" t="str">
        <f aca="false">IF(A15="","",IF(OR(C15="Folga (DSR)",C15="Feriado"),"Descanso",IF(OR(C15="Atestado / abonado",C15="Férias",C15="Compensação (banco)"),"Abonado",IF(C15="Trabalho em escala","Útil",AE15))))</f>
        <v>Útil</v>
      </c>
      <c r="K15" s="43" t="n">
        <f aca="false">IF(A15="",0,ROUND((X15+Y15+Z15-AD15)*1440,0)/1440)</f>
        <v>0.45</v>
      </c>
      <c r="L15" s="43" t="n">
        <f aca="false">IF(A15="",0,K15+IF(HoraReduzida="Sim",ROUND((AA15+AB15+AC15)/7*1440,0)/1440,0))</f>
        <v>0.45</v>
      </c>
      <c r="M15" s="43" t="n">
        <f aca="false">IF(OR(A15="",J15&lt;&gt;"Útil"),0,IF(C15="Trabalho em escala",$O$7,INDEX($M$6:$S$6,WEEKDAY(A15))))</f>
        <v>0.366666666666667</v>
      </c>
      <c r="N15" s="44" t="n">
        <f aca="false">MIN(AF15,LimiteHE1)</f>
        <v>0.0833333333333333</v>
      </c>
      <c r="O15" s="44" t="n">
        <f aca="false">AF15-N15</f>
        <v>0</v>
      </c>
      <c r="P15" s="44" t="n">
        <f aca="false">IF(J15="Descanso",L15,0)</f>
        <v>0</v>
      </c>
      <c r="Q15" s="43" t="n">
        <f aca="false">IF(A15="",0,ROUND((AA15+AB15+AC15)*IF(HoraReduzida="Sim",8/7,1)*1440,0)/1440)</f>
        <v>0</v>
      </c>
      <c r="R15" s="43" t="n">
        <f aca="false">IF(J15="Descanso",Q15,MIN(Q15,AF15))</f>
        <v>0</v>
      </c>
      <c r="S15" s="45" t="n">
        <f aca="false">IF(OR(J15&lt;&gt;"Útil",AND(K15=0,C15="",A15&gt;DataRef)),0,IF(M15-L15&gt;Tolerancia+1/86400,M15-L15,0))</f>
        <v>0</v>
      </c>
      <c r="T15" s="43" t="n">
        <f aca="false">IF(OR($J$7&lt;&gt;"Sim",A15=""),0,IF(K15&gt;6/24+1/86400,IF(1/24-AI15&gt;TolIntervalo+1/86400,1/24-AI15,0),IF(K15&gt;4/24+1/86400,IF(15/1440-AI15&gt;TolIntervalo+1/86400,15/1440-AI15,0),0)))</f>
        <v>0</v>
      </c>
      <c r="U15" s="43" t="n">
        <f aca="false">IF(OR(AG15="",AH14=""),0,MAX(0,ROUND((11/24-(AG15-AH14))*1440,0)/1440))</f>
        <v>0</v>
      </c>
      <c r="V15" s="46" t="str">
        <f aca="false">IF(AJ15="","",LEFT(AJ15,LEN(AJ15)-2))</f>
        <v/>
      </c>
      <c r="X15" s="47" t="n">
        <f aca="false">IF(OR(D15="",E15=""),0,MOD(E15-D15,1))</f>
        <v>0.166666666666667</v>
      </c>
      <c r="Y15" s="47" t="n">
        <f aca="false">IF(OR(F15="",G15=""),0,MOD(G15-F15,1))</f>
        <v>0.283333333333333</v>
      </c>
      <c r="Z15" s="47" t="n">
        <f aca="false">IF(OR(H15="",I15=""),0,MOD(I15-H15,1))</f>
        <v>0</v>
      </c>
      <c r="AA15" s="47" t="n">
        <f aca="false">IF(X15=0,0,MAX(0,MIN(D15+X15,5/24)-D15)+MAX(0,MIN(D15+X15,29/24)-MAX(D15,22/24)))</f>
        <v>0</v>
      </c>
      <c r="AB15" s="47" t="n">
        <f aca="false">IF(Y15=0,0,MAX(0,MIN(F15+Y15,5/24)-F15)+MAX(0,MIN(F15+Y15,29/24)-MAX(F15,22/24)))</f>
        <v>0</v>
      </c>
      <c r="AC15" s="47" t="n">
        <f aca="false">IF(Z15=0,0,MAX(0,MIN(H15+Z15,5/24)-H15)+MAX(0,MIN(H15+Z15,29/24)-MAX(H15,22/24)))</f>
        <v>0</v>
      </c>
      <c r="AD15" s="47" t="n">
        <f aca="false">IF(AND($J$7="Não",F15="",H15="",X15&gt;6/24),$S$7,0)</f>
        <v>0</v>
      </c>
      <c r="AE15" s="48" t="str">
        <f aca="false">IF(A15="","",IF(OR(WEEKDAY(A15)=1,COUNTIF(Feriados,A15)&gt;0),"Descanso","Útil"))</f>
        <v>Útil</v>
      </c>
      <c r="AF15" s="47" t="n">
        <f aca="false">IF(J15&lt;&gt;"Útil",0,IF(L15-M15&gt;Tolerancia+1/86400,L15-M15,0))</f>
        <v>0.0833333333333333</v>
      </c>
      <c r="AG15" s="49" t="n">
        <f aca="false">IF(OR(A15="",D15=""),"",A15+D15)</f>
        <v>46300.3333333333</v>
      </c>
      <c r="AH15" s="49" t="n">
        <f aca="false">IF(A15="","",IF(AND(H15&lt;&gt;"",I15&lt;&gt;""),A15+I15+IF(I15&lt;D15,1,0),IF(AND(F15&lt;&gt;"",G15&lt;&gt;""),A15+G15+IF(G15&lt;D15,1,0),IF(AND(D15&lt;&gt;"",E15&lt;&gt;""),A15+E15+IF(E15&lt;D15,1,0),""))))</f>
        <v>46300.825</v>
      </c>
      <c r="AI15" s="47" t="n">
        <f aca="false">IF(AND(E15&lt;&gt;"",F15&lt;&gt;""),MOD(F15-E15,1),0)</f>
        <v>0.0416666666666667</v>
      </c>
      <c r="AJ15" s="48" t="str">
        <f aca="false">IF(A15="","",IF(OR(AND(D15&lt;&gt;"",E15=""),AND(D15="",E15&lt;&gt;""),AND(F15&lt;&gt;"",G15=""),AND(F15="",G15&lt;&gt;""),AND(H15&lt;&gt;"",I15=""),AND(H15="",I15&lt;&gt;"")),"Marcação incompleta; ","")&amp;IF(AND(J15="Útil",M15&gt;0,K15=0,C15="",A15&lt;=DataRef),"Sem marcações no dia; ","")&amp;IF(T15&gt;0,"Intervalo abaixo do mínimo; ","")&amp;IF(U15&gt;0,"Descanso entre jornadas menor que 11h; ","")&amp;IF(AF15&gt;2/24+1/86400,"Mais de 2h extras no dia (CLT, art. 59); ","")&amp;IF(C15="Falta injustificada","Falta injustificada: pode descontar o DSR da semana; ","")&amp;IF(AND(J15="Abonado",K15&gt;0),"Horas marcadas em dia abonado; ",""))</f>
        <v/>
      </c>
    </row>
    <row r="16" customFormat="false" ht="16.5" hidden="false" customHeight="true" outlineLevel="0" collapsed="false">
      <c r="A16" s="31" t="n">
        <f aca="false">IF(ROW()-10&lt;=DAY(FimMes),InicioMes+ROW()-11,"")</f>
        <v>46301</v>
      </c>
      <c r="B16" s="32" t="str">
        <f aca="false">IF(A16="","",CHOOSE(WEEKDAY(A16),"Dom","Seg","Ter","Qua","Qui","Sex","Sáb"))</f>
        <v>Ter</v>
      </c>
      <c r="C16" s="41"/>
      <c r="D16" s="42" t="n">
        <v>0.333333333333333</v>
      </c>
      <c r="E16" s="42" t="n">
        <v>0.5</v>
      </c>
      <c r="F16" s="42" t="n">
        <v>0.520833333333333</v>
      </c>
      <c r="G16" s="42" t="n">
        <v>0.741666666666667</v>
      </c>
      <c r="H16" s="42"/>
      <c r="I16" s="42"/>
      <c r="J16" s="32" t="str">
        <f aca="false">IF(A16="","",IF(OR(C16="Folga (DSR)",C16="Feriado"),"Descanso",IF(OR(C16="Atestado / abonado",C16="Férias",C16="Compensação (banco)"),"Abonado",IF(C16="Trabalho em escala","Útil",AE16))))</f>
        <v>Útil</v>
      </c>
      <c r="K16" s="43" t="n">
        <f aca="false">IF(A16="",0,ROUND((X16+Y16+Z16-AD16)*1440,0)/1440)</f>
        <v>0.3875</v>
      </c>
      <c r="L16" s="43" t="n">
        <f aca="false">IF(A16="",0,K16+IF(HoraReduzida="Sim",ROUND((AA16+AB16+AC16)/7*1440,0)/1440,0))</f>
        <v>0.3875</v>
      </c>
      <c r="M16" s="43" t="n">
        <f aca="false">IF(OR(A16="",J16&lt;&gt;"Útil"),0,IF(C16="Trabalho em escala",$O$7,INDEX($M$6:$S$6,WEEKDAY(A16))))</f>
        <v>0.366666666666667</v>
      </c>
      <c r="N16" s="44" t="n">
        <f aca="false">MIN(AF16,LimiteHE1)</f>
        <v>0.0208333333333333</v>
      </c>
      <c r="O16" s="44" t="n">
        <f aca="false">AF16-N16</f>
        <v>0</v>
      </c>
      <c r="P16" s="44" t="n">
        <f aca="false">IF(J16="Descanso",L16,0)</f>
        <v>0</v>
      </c>
      <c r="Q16" s="43" t="n">
        <f aca="false">IF(A16="",0,ROUND((AA16+AB16+AC16)*IF(HoraReduzida="Sim",8/7,1)*1440,0)/1440)</f>
        <v>0</v>
      </c>
      <c r="R16" s="43" t="n">
        <f aca="false">IF(J16="Descanso",Q16,MIN(Q16,AF16))</f>
        <v>0</v>
      </c>
      <c r="S16" s="45" t="n">
        <f aca="false">IF(OR(J16&lt;&gt;"Útil",AND(K16=0,C16="",A16&gt;DataRef)),0,IF(M16-L16&gt;Tolerancia+1/86400,M16-L16,0))</f>
        <v>0</v>
      </c>
      <c r="T16" s="43" t="n">
        <f aca="false">IF(OR($J$7&lt;&gt;"Sim",A16=""),0,IF(K16&gt;6/24+1/86400,IF(1/24-AI16&gt;TolIntervalo+1/86400,1/24-AI16,0),IF(K16&gt;4/24+1/86400,IF(15/1440-AI16&gt;TolIntervalo+1/86400,15/1440-AI16,0),0)))</f>
        <v>0.0208333333333333</v>
      </c>
      <c r="U16" s="43" t="n">
        <f aca="false">IF(OR(AG16="",AH15=""),0,MAX(0,ROUND((11/24-(AG16-AH15))*1440,0)/1440))</f>
        <v>0</v>
      </c>
      <c r="V16" s="46" t="str">
        <f aca="false">IF(AJ16="","",LEFT(AJ16,LEN(AJ16)-2))</f>
        <v>Intervalo abaixo do mínimo</v>
      </c>
      <c r="X16" s="47" t="n">
        <f aca="false">IF(OR(D16="",E16=""),0,MOD(E16-D16,1))</f>
        <v>0.166666666666667</v>
      </c>
      <c r="Y16" s="47" t="n">
        <f aca="false">IF(OR(F16="",G16=""),0,MOD(G16-F16,1))</f>
        <v>0.220833333333333</v>
      </c>
      <c r="Z16" s="47" t="n">
        <f aca="false">IF(OR(H16="",I16=""),0,MOD(I16-H16,1))</f>
        <v>0</v>
      </c>
      <c r="AA16" s="47" t="n">
        <f aca="false">IF(X16=0,0,MAX(0,MIN(D16+X16,5/24)-D16)+MAX(0,MIN(D16+X16,29/24)-MAX(D16,22/24)))</f>
        <v>0</v>
      </c>
      <c r="AB16" s="47" t="n">
        <f aca="false">IF(Y16=0,0,MAX(0,MIN(F16+Y16,5/24)-F16)+MAX(0,MIN(F16+Y16,29/24)-MAX(F16,22/24)))</f>
        <v>0</v>
      </c>
      <c r="AC16" s="47" t="n">
        <f aca="false">IF(Z16=0,0,MAX(0,MIN(H16+Z16,5/24)-H16)+MAX(0,MIN(H16+Z16,29/24)-MAX(H16,22/24)))</f>
        <v>0</v>
      </c>
      <c r="AD16" s="47" t="n">
        <f aca="false">IF(AND($J$7="Não",F16="",H16="",X16&gt;6/24),$S$7,0)</f>
        <v>0</v>
      </c>
      <c r="AE16" s="48" t="str">
        <f aca="false">IF(A16="","",IF(OR(WEEKDAY(A16)=1,COUNTIF(Feriados,A16)&gt;0),"Descanso","Útil"))</f>
        <v>Útil</v>
      </c>
      <c r="AF16" s="47" t="n">
        <f aca="false">IF(J16&lt;&gt;"Útil",0,IF(L16-M16&gt;Tolerancia+1/86400,L16-M16,0))</f>
        <v>0.0208333333333333</v>
      </c>
      <c r="AG16" s="49" t="n">
        <f aca="false">IF(OR(A16="",D16=""),"",A16+D16)</f>
        <v>46301.3333333333</v>
      </c>
      <c r="AH16" s="49" t="n">
        <f aca="false">IF(A16="","",IF(AND(H16&lt;&gt;"",I16&lt;&gt;""),A16+I16+IF(I16&lt;D16,1,0),IF(AND(F16&lt;&gt;"",G16&lt;&gt;""),A16+G16+IF(G16&lt;D16,1,0),IF(AND(D16&lt;&gt;"",E16&lt;&gt;""),A16+E16+IF(E16&lt;D16,1,0),""))))</f>
        <v>46301.7416666667</v>
      </c>
      <c r="AI16" s="47" t="n">
        <f aca="false">IF(AND(E16&lt;&gt;"",F16&lt;&gt;""),MOD(F16-E16,1),0)</f>
        <v>0.0208333333333333</v>
      </c>
      <c r="AJ16" s="48" t="str">
        <f aca="false">IF(A16="","",IF(OR(AND(D16&lt;&gt;"",E16=""),AND(D16="",E16&lt;&gt;""),AND(F16&lt;&gt;"",G16=""),AND(F16="",G16&lt;&gt;""),AND(H16&lt;&gt;"",I16=""),AND(H16="",I16&lt;&gt;"")),"Marcação incompleta; ","")&amp;IF(AND(J16="Útil",M16&gt;0,K16=0,C16="",A16&lt;=DataRef),"Sem marcações no dia; ","")&amp;IF(T16&gt;0,"Intervalo abaixo do mínimo; ","")&amp;IF(U16&gt;0,"Descanso entre jornadas menor que 11h; ","")&amp;IF(AF16&gt;2/24+1/86400,"Mais de 2h extras no dia (CLT, art. 59); ","")&amp;IF(C16="Falta injustificada","Falta injustificada: pode descontar o DSR da semana; ","")&amp;IF(AND(J16="Abonado",K16&gt;0),"Horas marcadas em dia abonado; ",""))</f>
        <v>Intervalo abaixo do mínimo; </v>
      </c>
    </row>
    <row r="17" customFormat="false" ht="16.5" hidden="false" customHeight="true" outlineLevel="0" collapsed="false">
      <c r="A17" s="31" t="n">
        <f aca="false">IF(ROW()-10&lt;=DAY(FimMes),InicioMes+ROW()-11,"")</f>
        <v>46302</v>
      </c>
      <c r="B17" s="32" t="str">
        <f aca="false">IF(A17="","",CHOOSE(WEEKDAY(A17),"Dom","Seg","Ter","Qua","Qui","Sex","Sáb"))</f>
        <v>Qua</v>
      </c>
      <c r="C17" s="41"/>
      <c r="D17" s="42" t="n">
        <v>0.333333333333333</v>
      </c>
      <c r="E17" s="42" t="n">
        <v>0.5</v>
      </c>
      <c r="F17" s="42" t="n">
        <v>0.541666666666667</v>
      </c>
      <c r="G17" s="42" t="n">
        <v>0.741666666666667</v>
      </c>
      <c r="H17" s="42"/>
      <c r="I17" s="42"/>
      <c r="J17" s="32" t="str">
        <f aca="false">IF(A17="","",IF(OR(C17="Folga (DSR)",C17="Feriado"),"Descanso",IF(OR(C17="Atestado / abonado",C17="Férias",C17="Compensação (banco)"),"Abonado",IF(C17="Trabalho em escala","Útil",AE17))))</f>
        <v>Útil</v>
      </c>
      <c r="K17" s="43" t="n">
        <f aca="false">IF(A17="",0,ROUND((X17+Y17+Z17-AD17)*1440,0)/1440)</f>
        <v>0.366666666666667</v>
      </c>
      <c r="L17" s="43" t="n">
        <f aca="false">IF(A17="",0,K17+IF(HoraReduzida="Sim",ROUND((AA17+AB17+AC17)/7*1440,0)/1440,0))</f>
        <v>0.366666666666667</v>
      </c>
      <c r="M17" s="43" t="n">
        <f aca="false">IF(OR(A17="",J17&lt;&gt;"Útil"),0,IF(C17="Trabalho em escala",$O$7,INDEX($M$6:$S$6,WEEKDAY(A17))))</f>
        <v>0.366666666666667</v>
      </c>
      <c r="N17" s="44" t="n">
        <f aca="false">MIN(AF17,LimiteHE1)</f>
        <v>0</v>
      </c>
      <c r="O17" s="44" t="n">
        <f aca="false">AF17-N17</f>
        <v>0</v>
      </c>
      <c r="P17" s="44" t="n">
        <f aca="false">IF(J17="Descanso",L17,0)</f>
        <v>0</v>
      </c>
      <c r="Q17" s="43" t="n">
        <f aca="false">IF(A17="",0,ROUND((AA17+AB17+AC17)*IF(HoraReduzida="Sim",8/7,1)*1440,0)/1440)</f>
        <v>0</v>
      </c>
      <c r="R17" s="43" t="n">
        <f aca="false">IF(J17="Descanso",Q17,MIN(Q17,AF17))</f>
        <v>0</v>
      </c>
      <c r="S17" s="45" t="n">
        <f aca="false">IF(OR(J17&lt;&gt;"Útil",AND(K17=0,C17="",A17&gt;DataRef)),0,IF(M17-L17&gt;Tolerancia+1/86400,M17-L17,0))</f>
        <v>0</v>
      </c>
      <c r="T17" s="43" t="n">
        <f aca="false">IF(OR($J$7&lt;&gt;"Sim",A17=""),0,IF(K17&gt;6/24+1/86400,IF(1/24-AI17&gt;TolIntervalo+1/86400,1/24-AI17,0),IF(K17&gt;4/24+1/86400,IF(15/1440-AI17&gt;TolIntervalo+1/86400,15/1440-AI17,0),0)))</f>
        <v>0</v>
      </c>
      <c r="U17" s="43" t="n">
        <f aca="false">IF(OR(AG17="",AH16=""),0,MAX(0,ROUND((11/24-(AG17-AH16))*1440,0)/1440))</f>
        <v>0</v>
      </c>
      <c r="V17" s="46" t="str">
        <f aca="false">IF(AJ17="","",LEFT(AJ17,LEN(AJ17)-2))</f>
        <v/>
      </c>
      <c r="X17" s="47" t="n">
        <f aca="false">IF(OR(D17="",E17=""),0,MOD(E17-D17,1))</f>
        <v>0.166666666666667</v>
      </c>
      <c r="Y17" s="47" t="n">
        <f aca="false">IF(OR(F17="",G17=""),0,MOD(G17-F17,1))</f>
        <v>0.2</v>
      </c>
      <c r="Z17" s="47" t="n">
        <f aca="false">IF(OR(H17="",I17=""),0,MOD(I17-H17,1))</f>
        <v>0</v>
      </c>
      <c r="AA17" s="47" t="n">
        <f aca="false">IF(X17=0,0,MAX(0,MIN(D17+X17,5/24)-D17)+MAX(0,MIN(D17+X17,29/24)-MAX(D17,22/24)))</f>
        <v>0</v>
      </c>
      <c r="AB17" s="47" t="n">
        <f aca="false">IF(Y17=0,0,MAX(0,MIN(F17+Y17,5/24)-F17)+MAX(0,MIN(F17+Y17,29/24)-MAX(F17,22/24)))</f>
        <v>0</v>
      </c>
      <c r="AC17" s="47" t="n">
        <f aca="false">IF(Z17=0,0,MAX(0,MIN(H17+Z17,5/24)-H17)+MAX(0,MIN(H17+Z17,29/24)-MAX(H17,22/24)))</f>
        <v>0</v>
      </c>
      <c r="AD17" s="47" t="n">
        <f aca="false">IF(AND($J$7="Não",F17="",H17="",X17&gt;6/24),$S$7,0)</f>
        <v>0</v>
      </c>
      <c r="AE17" s="48" t="str">
        <f aca="false">IF(A17="","",IF(OR(WEEKDAY(A17)=1,COUNTIF(Feriados,A17)&gt;0),"Descanso","Útil"))</f>
        <v>Útil</v>
      </c>
      <c r="AF17" s="47" t="n">
        <f aca="false">IF(J17&lt;&gt;"Útil",0,IF(L17-M17&gt;Tolerancia+1/86400,L17-M17,0))</f>
        <v>0</v>
      </c>
      <c r="AG17" s="49" t="n">
        <f aca="false">IF(OR(A17="",D17=""),"",A17+D17)</f>
        <v>46302.3333333333</v>
      </c>
      <c r="AH17" s="49" t="n">
        <f aca="false">IF(A17="","",IF(AND(H17&lt;&gt;"",I17&lt;&gt;""),A17+I17+IF(I17&lt;D17,1,0),IF(AND(F17&lt;&gt;"",G17&lt;&gt;""),A17+G17+IF(G17&lt;D17,1,0),IF(AND(D17&lt;&gt;"",E17&lt;&gt;""),A17+E17+IF(E17&lt;D17,1,0),""))))</f>
        <v>46302.7416666667</v>
      </c>
      <c r="AI17" s="47" t="n">
        <f aca="false">IF(AND(E17&lt;&gt;"",F17&lt;&gt;""),MOD(F17-E17,1),0)</f>
        <v>0.0416666666666667</v>
      </c>
      <c r="AJ17" s="48" t="str">
        <f aca="false">IF(A17="","",IF(OR(AND(D17&lt;&gt;"",E17=""),AND(D17="",E17&lt;&gt;""),AND(F17&lt;&gt;"",G17=""),AND(F17="",G17&lt;&gt;""),AND(H17&lt;&gt;"",I17=""),AND(H17="",I17&lt;&gt;"")),"Marcação incompleta; ","")&amp;IF(AND(J17="Útil",M17&gt;0,K17=0,C17="",A17&lt;=DataRef),"Sem marcações no dia; ","")&amp;IF(T17&gt;0,"Intervalo abaixo do mínimo; ","")&amp;IF(U17&gt;0,"Descanso entre jornadas menor que 11h; ","")&amp;IF(AF17&gt;2/24+1/86400,"Mais de 2h extras no dia (CLT, art. 59); ","")&amp;IF(C17="Falta injustificada","Falta injustificada: pode descontar o DSR da semana; ","")&amp;IF(AND(J17="Abonado",K17&gt;0),"Horas marcadas em dia abonado; ",""))</f>
        <v/>
      </c>
    </row>
    <row r="18" customFormat="false" ht="16.5" hidden="false" customHeight="true" outlineLevel="0" collapsed="false">
      <c r="A18" s="31" t="n">
        <f aca="false">IF(ROW()-10&lt;=DAY(FimMes),InicioMes+ROW()-11,"")</f>
        <v>46303</v>
      </c>
      <c r="B18" s="32" t="str">
        <f aca="false">IF(A18="","",CHOOSE(WEEKDAY(A18),"Dom","Seg","Ter","Qua","Qui","Sex","Sáb"))</f>
        <v>Qui</v>
      </c>
      <c r="C18" s="41"/>
      <c r="D18" s="42" t="n">
        <v>0.350694444444444</v>
      </c>
      <c r="E18" s="42" t="n">
        <v>0.5</v>
      </c>
      <c r="F18" s="42" t="n">
        <v>0.541666666666667</v>
      </c>
      <c r="G18" s="42" t="n">
        <v>0.741666666666667</v>
      </c>
      <c r="H18" s="42"/>
      <c r="I18" s="42"/>
      <c r="J18" s="32" t="str">
        <f aca="false">IF(A18="","",IF(OR(C18="Folga (DSR)",C18="Feriado"),"Descanso",IF(OR(C18="Atestado / abonado",C18="Férias",C18="Compensação (banco)"),"Abonado",IF(C18="Trabalho em escala","Útil",AE18))))</f>
        <v>Útil</v>
      </c>
      <c r="K18" s="43" t="n">
        <f aca="false">IF(A18="",0,ROUND((X18+Y18+Z18-AD18)*1440,0)/1440)</f>
        <v>0.349305555555556</v>
      </c>
      <c r="L18" s="43" t="n">
        <f aca="false">IF(A18="",0,K18+IF(HoraReduzida="Sim",ROUND((AA18+AB18+AC18)/7*1440,0)/1440,0))</f>
        <v>0.349305555555556</v>
      </c>
      <c r="M18" s="43" t="n">
        <f aca="false">IF(OR(A18="",J18&lt;&gt;"Útil"),0,IF(C18="Trabalho em escala",$O$7,INDEX($M$6:$S$6,WEEKDAY(A18))))</f>
        <v>0.366666666666667</v>
      </c>
      <c r="N18" s="44" t="n">
        <f aca="false">MIN(AF18,LimiteHE1)</f>
        <v>0</v>
      </c>
      <c r="O18" s="44" t="n">
        <f aca="false">AF18-N18</f>
        <v>0</v>
      </c>
      <c r="P18" s="44" t="n">
        <f aca="false">IF(J18="Descanso",L18,0)</f>
        <v>0</v>
      </c>
      <c r="Q18" s="43" t="n">
        <f aca="false">IF(A18="",0,ROUND((AA18+AB18+AC18)*IF(HoraReduzida="Sim",8/7,1)*1440,0)/1440)</f>
        <v>0</v>
      </c>
      <c r="R18" s="43" t="n">
        <f aca="false">IF(J18="Descanso",Q18,MIN(Q18,AF18))</f>
        <v>0</v>
      </c>
      <c r="S18" s="45" t="n">
        <f aca="false">IF(OR(J18&lt;&gt;"Útil",AND(K18=0,C18="",A18&gt;DataRef)),0,IF(M18-L18&gt;Tolerancia+1/86400,M18-L18,0))</f>
        <v>0.0173611111111111</v>
      </c>
      <c r="T18" s="43" t="n">
        <f aca="false">IF(OR($J$7&lt;&gt;"Sim",A18=""),0,IF(K18&gt;6/24+1/86400,IF(1/24-AI18&gt;TolIntervalo+1/86400,1/24-AI18,0),IF(K18&gt;4/24+1/86400,IF(15/1440-AI18&gt;TolIntervalo+1/86400,15/1440-AI18,0),0)))</f>
        <v>0</v>
      </c>
      <c r="U18" s="43" t="n">
        <f aca="false">IF(OR(AG18="",AH17=""),0,MAX(0,ROUND((11/24-(AG18-AH17))*1440,0)/1440))</f>
        <v>0</v>
      </c>
      <c r="V18" s="46" t="str">
        <f aca="false">IF(AJ18="","",LEFT(AJ18,LEN(AJ18)-2))</f>
        <v/>
      </c>
      <c r="X18" s="47" t="n">
        <f aca="false">IF(OR(D18="",E18=""),0,MOD(E18-D18,1))</f>
        <v>0.149305555555556</v>
      </c>
      <c r="Y18" s="47" t="n">
        <f aca="false">IF(OR(F18="",G18=""),0,MOD(G18-F18,1))</f>
        <v>0.2</v>
      </c>
      <c r="Z18" s="47" t="n">
        <f aca="false">IF(OR(H18="",I18=""),0,MOD(I18-H18,1))</f>
        <v>0</v>
      </c>
      <c r="AA18" s="47" t="n">
        <f aca="false">IF(X18=0,0,MAX(0,MIN(D18+X18,5/24)-D18)+MAX(0,MIN(D18+X18,29/24)-MAX(D18,22/24)))</f>
        <v>0</v>
      </c>
      <c r="AB18" s="47" t="n">
        <f aca="false">IF(Y18=0,0,MAX(0,MIN(F18+Y18,5/24)-F18)+MAX(0,MIN(F18+Y18,29/24)-MAX(F18,22/24)))</f>
        <v>0</v>
      </c>
      <c r="AC18" s="47" t="n">
        <f aca="false">IF(Z18=0,0,MAX(0,MIN(H18+Z18,5/24)-H18)+MAX(0,MIN(H18+Z18,29/24)-MAX(H18,22/24)))</f>
        <v>0</v>
      </c>
      <c r="AD18" s="47" t="n">
        <f aca="false">IF(AND($J$7="Não",F18="",H18="",X18&gt;6/24),$S$7,0)</f>
        <v>0</v>
      </c>
      <c r="AE18" s="48" t="str">
        <f aca="false">IF(A18="","",IF(OR(WEEKDAY(A18)=1,COUNTIF(Feriados,A18)&gt;0),"Descanso","Útil"))</f>
        <v>Útil</v>
      </c>
      <c r="AF18" s="47" t="n">
        <f aca="false">IF(J18&lt;&gt;"Útil",0,IF(L18-M18&gt;Tolerancia+1/86400,L18-M18,0))</f>
        <v>0</v>
      </c>
      <c r="AG18" s="49" t="n">
        <f aca="false">IF(OR(A18="",D18=""),"",A18+D18)</f>
        <v>46303.3506944444</v>
      </c>
      <c r="AH18" s="49" t="n">
        <f aca="false">IF(A18="","",IF(AND(H18&lt;&gt;"",I18&lt;&gt;""),A18+I18+IF(I18&lt;D18,1,0),IF(AND(F18&lt;&gt;"",G18&lt;&gt;""),A18+G18+IF(G18&lt;D18,1,0),IF(AND(D18&lt;&gt;"",E18&lt;&gt;""),A18+E18+IF(E18&lt;D18,1,0),""))))</f>
        <v>46303.7416666667</v>
      </c>
      <c r="AI18" s="47" t="n">
        <f aca="false">IF(AND(E18&lt;&gt;"",F18&lt;&gt;""),MOD(F18-E18,1),0)</f>
        <v>0.0416666666666667</v>
      </c>
      <c r="AJ18" s="48" t="str">
        <f aca="false">IF(A18="","",IF(OR(AND(D18&lt;&gt;"",E18=""),AND(D18="",E18&lt;&gt;""),AND(F18&lt;&gt;"",G18=""),AND(F18="",G18&lt;&gt;""),AND(H18&lt;&gt;"",I18=""),AND(H18="",I18&lt;&gt;"")),"Marcação incompleta; ","")&amp;IF(AND(J18="Útil",M18&gt;0,K18=0,C18="",A18&lt;=DataRef),"Sem marcações no dia; ","")&amp;IF(T18&gt;0,"Intervalo abaixo do mínimo; ","")&amp;IF(U18&gt;0,"Descanso entre jornadas menor que 11h; ","")&amp;IF(AF18&gt;2/24+1/86400,"Mais de 2h extras no dia (CLT, art. 59); ","")&amp;IF(C18="Falta injustificada","Falta injustificada: pode descontar o DSR da semana; ","")&amp;IF(AND(J18="Abonado",K18&gt;0),"Horas marcadas em dia abonado; ",""))</f>
        <v/>
      </c>
    </row>
    <row r="19" customFormat="false" ht="16.5" hidden="false" customHeight="true" outlineLevel="0" collapsed="false">
      <c r="A19" s="31" t="n">
        <f aca="false">IF(ROW()-10&lt;=DAY(FimMes),InicioMes+ROW()-11,"")</f>
        <v>46304</v>
      </c>
      <c r="B19" s="32" t="str">
        <f aca="false">IF(A19="","",CHOOSE(WEEKDAY(A19),"Dom","Seg","Ter","Qua","Qui","Sex","Sáb"))</f>
        <v>Sex</v>
      </c>
      <c r="C19" s="41" t="s">
        <v>163</v>
      </c>
      <c r="D19" s="42"/>
      <c r="E19" s="42"/>
      <c r="F19" s="42"/>
      <c r="G19" s="42"/>
      <c r="H19" s="42"/>
      <c r="I19" s="42"/>
      <c r="J19" s="32" t="str">
        <f aca="false">IF(A19="","",IF(OR(C19="Folga (DSR)",C19="Feriado"),"Descanso",IF(OR(C19="Atestado / abonado",C19="Férias",C19="Compensação (banco)"),"Abonado",IF(C19="Trabalho em escala","Útil",AE19))))</f>
        <v>Útil</v>
      </c>
      <c r="K19" s="43" t="n">
        <f aca="false">IF(A19="",0,ROUND((X19+Y19+Z19-AD19)*1440,0)/1440)</f>
        <v>0</v>
      </c>
      <c r="L19" s="43" t="n">
        <f aca="false">IF(A19="",0,K19+IF(HoraReduzida="Sim",ROUND((AA19+AB19+AC19)/7*1440,0)/1440,0))</f>
        <v>0</v>
      </c>
      <c r="M19" s="43" t="n">
        <f aca="false">IF(OR(A19="",J19&lt;&gt;"Útil"),0,IF(C19="Trabalho em escala",$O$7,INDEX($M$6:$S$6,WEEKDAY(A19))))</f>
        <v>0.366666666666667</v>
      </c>
      <c r="N19" s="44" t="n">
        <f aca="false">MIN(AF19,LimiteHE1)</f>
        <v>0</v>
      </c>
      <c r="O19" s="44" t="n">
        <f aca="false">AF19-N19</f>
        <v>0</v>
      </c>
      <c r="P19" s="44" t="n">
        <f aca="false">IF(J19="Descanso",L19,0)</f>
        <v>0</v>
      </c>
      <c r="Q19" s="43" t="n">
        <f aca="false">IF(A19="",0,ROUND((AA19+AB19+AC19)*IF(HoraReduzida="Sim",8/7,1)*1440,0)/1440)</f>
        <v>0</v>
      </c>
      <c r="R19" s="43" t="n">
        <f aca="false">IF(J19="Descanso",Q19,MIN(Q19,AF19))</f>
        <v>0</v>
      </c>
      <c r="S19" s="45" t="n">
        <f aca="false">IF(OR(J19&lt;&gt;"Útil",AND(K19=0,C19="",A19&gt;DataRef)),0,IF(M19-L19&gt;Tolerancia+1/86400,M19-L19,0))</f>
        <v>0.366666666666667</v>
      </c>
      <c r="T19" s="43" t="n">
        <f aca="false">IF(OR($J$7&lt;&gt;"Sim",A19=""),0,IF(K19&gt;6/24+1/86400,IF(1/24-AI19&gt;TolIntervalo+1/86400,1/24-AI19,0),IF(K19&gt;4/24+1/86400,IF(15/1440-AI19&gt;TolIntervalo+1/86400,15/1440-AI19,0),0)))</f>
        <v>0</v>
      </c>
      <c r="U19" s="43" t="n">
        <f aca="false">IF(OR(AG19="",AH18=""),0,MAX(0,ROUND((11/24-(AG19-AH18))*1440,0)/1440))</f>
        <v>0</v>
      </c>
      <c r="V19" s="46" t="str">
        <f aca="false">IF(AJ19="","",LEFT(AJ19,LEN(AJ19)-2))</f>
        <v>Falta injustificada: pode descontar o DSR da semana</v>
      </c>
      <c r="X19" s="47" t="n">
        <f aca="false">IF(OR(D19="",E19=""),0,MOD(E19-D19,1))</f>
        <v>0</v>
      </c>
      <c r="Y19" s="47" t="n">
        <f aca="false">IF(OR(F19="",G19=""),0,MOD(G19-F19,1))</f>
        <v>0</v>
      </c>
      <c r="Z19" s="47" t="n">
        <f aca="false">IF(OR(H19="",I19=""),0,MOD(I19-H19,1))</f>
        <v>0</v>
      </c>
      <c r="AA19" s="47" t="n">
        <f aca="false">IF(X19=0,0,MAX(0,MIN(D19+X19,5/24)-D19)+MAX(0,MIN(D19+X19,29/24)-MAX(D19,22/24)))</f>
        <v>0</v>
      </c>
      <c r="AB19" s="47" t="n">
        <f aca="false">IF(Y19=0,0,MAX(0,MIN(F19+Y19,5/24)-F19)+MAX(0,MIN(F19+Y19,29/24)-MAX(F19,22/24)))</f>
        <v>0</v>
      </c>
      <c r="AC19" s="47" t="n">
        <f aca="false">IF(Z19=0,0,MAX(0,MIN(H19+Z19,5/24)-H19)+MAX(0,MIN(H19+Z19,29/24)-MAX(H19,22/24)))</f>
        <v>0</v>
      </c>
      <c r="AD19" s="47" t="n">
        <f aca="false">IF(AND($J$7="Não",F19="",H19="",X19&gt;6/24),$S$7,0)</f>
        <v>0</v>
      </c>
      <c r="AE19" s="48" t="str">
        <f aca="false">IF(A19="","",IF(OR(WEEKDAY(A19)=1,COUNTIF(Feriados,A19)&gt;0),"Descanso","Útil"))</f>
        <v>Útil</v>
      </c>
      <c r="AF19" s="47" t="n">
        <f aca="false">IF(J19&lt;&gt;"Útil",0,IF(L19-M19&gt;Tolerancia+1/86400,L19-M19,0))</f>
        <v>0</v>
      </c>
      <c r="AG19" s="49" t="str">
        <f aca="false">IF(OR(A19="",D19=""),"",A19+D19)</f>
        <v/>
      </c>
      <c r="AH19" s="49" t="str">
        <f aca="false">IF(A19="","",IF(AND(H19&lt;&gt;"",I19&lt;&gt;""),A19+I19+IF(I19&lt;D19,1,0),IF(AND(F19&lt;&gt;"",G19&lt;&gt;""),A19+G19+IF(G19&lt;D19,1,0),IF(AND(D19&lt;&gt;"",E19&lt;&gt;""),A19+E19+IF(E19&lt;D19,1,0),""))))</f>
        <v/>
      </c>
      <c r="AI19" s="47" t="n">
        <f aca="false">IF(AND(E19&lt;&gt;"",F19&lt;&gt;""),MOD(F19-E19,1),0)</f>
        <v>0</v>
      </c>
      <c r="AJ19" s="48" t="str">
        <f aca="false">IF(A19="","",IF(OR(AND(D19&lt;&gt;"",E19=""),AND(D19="",E19&lt;&gt;""),AND(F19&lt;&gt;"",G19=""),AND(F19="",G19&lt;&gt;""),AND(H19&lt;&gt;"",I19=""),AND(H19="",I19&lt;&gt;"")),"Marcação incompleta; ","")&amp;IF(AND(J19="Útil",M19&gt;0,K19=0,C19="",A19&lt;=DataRef),"Sem marcações no dia; ","")&amp;IF(T19&gt;0,"Intervalo abaixo do mínimo; ","")&amp;IF(U19&gt;0,"Descanso entre jornadas menor que 11h; ","")&amp;IF(AF19&gt;2/24+1/86400,"Mais de 2h extras no dia (CLT, art. 59); ","")&amp;IF(C19="Falta injustificada","Falta injustificada: pode descontar o DSR da semana; ","")&amp;IF(AND(J19="Abonado",K19&gt;0),"Horas marcadas em dia abonado; ",""))</f>
        <v>Falta injustificada: pode descontar o DSR da semana; </v>
      </c>
    </row>
    <row r="20" customFormat="false" ht="16.5" hidden="false" customHeight="true" outlineLevel="0" collapsed="false">
      <c r="A20" s="31" t="n">
        <f aca="false">IF(ROW()-10&lt;=DAY(FimMes),InicioMes+ROW()-11,"")</f>
        <v>46305</v>
      </c>
      <c r="B20" s="32" t="str">
        <f aca="false">IF(A20="","",CHOOSE(WEEKDAY(A20),"Dom","Seg","Ter","Qua","Qui","Sex","Sáb"))</f>
        <v>Sáb</v>
      </c>
      <c r="C20" s="41"/>
      <c r="D20" s="42"/>
      <c r="E20" s="42"/>
      <c r="F20" s="42"/>
      <c r="G20" s="42"/>
      <c r="H20" s="42"/>
      <c r="I20" s="42"/>
      <c r="J20" s="32" t="str">
        <f aca="false">IF(A20="","",IF(OR(C20="Folga (DSR)",C20="Feriado"),"Descanso",IF(OR(C20="Atestado / abonado",C20="Férias",C20="Compensação (banco)"),"Abonado",IF(C20="Trabalho em escala","Útil",AE20))))</f>
        <v>Útil</v>
      </c>
      <c r="K20" s="43" t="n">
        <f aca="false">IF(A20="",0,ROUND((X20+Y20+Z20-AD20)*1440,0)/1440)</f>
        <v>0</v>
      </c>
      <c r="L20" s="43" t="n">
        <f aca="false">IF(A20="",0,K20+IF(HoraReduzida="Sim",ROUND((AA20+AB20+AC20)/7*1440,0)/1440,0))</f>
        <v>0</v>
      </c>
      <c r="M20" s="43" t="n">
        <f aca="false">IF(OR(A20="",J20&lt;&gt;"Útil"),0,IF(C20="Trabalho em escala",$O$7,INDEX($M$6:$S$6,WEEKDAY(A20))))</f>
        <v>0</v>
      </c>
      <c r="N20" s="44" t="n">
        <f aca="false">MIN(AF20,LimiteHE1)</f>
        <v>0</v>
      </c>
      <c r="O20" s="44" t="n">
        <f aca="false">AF20-N20</f>
        <v>0</v>
      </c>
      <c r="P20" s="44" t="n">
        <f aca="false">IF(J20="Descanso",L20,0)</f>
        <v>0</v>
      </c>
      <c r="Q20" s="43" t="n">
        <f aca="false">IF(A20="",0,ROUND((AA20+AB20+AC20)*IF(HoraReduzida="Sim",8/7,1)*1440,0)/1440)</f>
        <v>0</v>
      </c>
      <c r="R20" s="43" t="n">
        <f aca="false">IF(J20="Descanso",Q20,MIN(Q20,AF20))</f>
        <v>0</v>
      </c>
      <c r="S20" s="45" t="n">
        <f aca="false">IF(OR(J20&lt;&gt;"Útil",AND(K20=0,C20="",A20&gt;DataRef)),0,IF(M20-L20&gt;Tolerancia+1/86400,M20-L20,0))</f>
        <v>0</v>
      </c>
      <c r="T20" s="43" t="n">
        <f aca="false">IF(OR($J$7&lt;&gt;"Sim",A20=""),0,IF(K20&gt;6/24+1/86400,IF(1/24-AI20&gt;TolIntervalo+1/86400,1/24-AI20,0),IF(K20&gt;4/24+1/86400,IF(15/1440-AI20&gt;TolIntervalo+1/86400,15/1440-AI20,0),0)))</f>
        <v>0</v>
      </c>
      <c r="U20" s="43" t="n">
        <f aca="false">IF(OR(AG20="",AH19=""),0,MAX(0,ROUND((11/24-(AG20-AH19))*1440,0)/1440))</f>
        <v>0</v>
      </c>
      <c r="V20" s="46" t="str">
        <f aca="false">IF(AJ20="","",LEFT(AJ20,LEN(AJ20)-2))</f>
        <v/>
      </c>
      <c r="X20" s="47" t="n">
        <f aca="false">IF(OR(D20="",E20=""),0,MOD(E20-D20,1))</f>
        <v>0</v>
      </c>
      <c r="Y20" s="47" t="n">
        <f aca="false">IF(OR(F20="",G20=""),0,MOD(G20-F20,1))</f>
        <v>0</v>
      </c>
      <c r="Z20" s="47" t="n">
        <f aca="false">IF(OR(H20="",I20=""),0,MOD(I20-H20,1))</f>
        <v>0</v>
      </c>
      <c r="AA20" s="47" t="n">
        <f aca="false">IF(X20=0,0,MAX(0,MIN(D20+X20,5/24)-D20)+MAX(0,MIN(D20+X20,29/24)-MAX(D20,22/24)))</f>
        <v>0</v>
      </c>
      <c r="AB20" s="47" t="n">
        <f aca="false">IF(Y20=0,0,MAX(0,MIN(F20+Y20,5/24)-F20)+MAX(0,MIN(F20+Y20,29/24)-MAX(F20,22/24)))</f>
        <v>0</v>
      </c>
      <c r="AC20" s="47" t="n">
        <f aca="false">IF(Z20=0,0,MAX(0,MIN(H20+Z20,5/24)-H20)+MAX(0,MIN(H20+Z20,29/24)-MAX(H20,22/24)))</f>
        <v>0</v>
      </c>
      <c r="AD20" s="47" t="n">
        <f aca="false">IF(AND($J$7="Não",F20="",H20="",X20&gt;6/24),$S$7,0)</f>
        <v>0</v>
      </c>
      <c r="AE20" s="48" t="str">
        <f aca="false">IF(A20="","",IF(OR(WEEKDAY(A20)=1,COUNTIF(Feriados,A20)&gt;0),"Descanso","Útil"))</f>
        <v>Útil</v>
      </c>
      <c r="AF20" s="47" t="n">
        <f aca="false">IF(J20&lt;&gt;"Útil",0,IF(L20-M20&gt;Tolerancia+1/86400,L20-M20,0))</f>
        <v>0</v>
      </c>
      <c r="AG20" s="49" t="str">
        <f aca="false">IF(OR(A20="",D20=""),"",A20+D20)</f>
        <v/>
      </c>
      <c r="AH20" s="49" t="str">
        <f aca="false">IF(A20="","",IF(AND(H20&lt;&gt;"",I20&lt;&gt;""),A20+I20+IF(I20&lt;D20,1,0),IF(AND(F20&lt;&gt;"",G20&lt;&gt;""),A20+G20+IF(G20&lt;D20,1,0),IF(AND(D20&lt;&gt;"",E20&lt;&gt;""),A20+E20+IF(E20&lt;D20,1,0),""))))</f>
        <v/>
      </c>
      <c r="AI20" s="47" t="n">
        <f aca="false">IF(AND(E20&lt;&gt;"",F20&lt;&gt;""),MOD(F20-E20,1),0)</f>
        <v>0</v>
      </c>
      <c r="AJ20" s="48" t="str">
        <f aca="false">IF(A20="","",IF(OR(AND(D20&lt;&gt;"",E20=""),AND(D20="",E20&lt;&gt;""),AND(F20&lt;&gt;"",G20=""),AND(F20="",G20&lt;&gt;""),AND(H20&lt;&gt;"",I20=""),AND(H20="",I20&lt;&gt;"")),"Marcação incompleta; ","")&amp;IF(AND(J20="Útil",M20&gt;0,K20=0,C20="",A20&lt;=DataRef),"Sem marcações no dia; ","")&amp;IF(T20&gt;0,"Intervalo abaixo do mínimo; ","")&amp;IF(U20&gt;0,"Descanso entre jornadas menor que 11h; ","")&amp;IF(AF20&gt;2/24+1/86400,"Mais de 2h extras no dia (CLT, art. 59); ","")&amp;IF(C20="Falta injustificada","Falta injustificada: pode descontar o DSR da semana; ","")&amp;IF(AND(J20="Abonado",K20&gt;0),"Horas marcadas em dia abonado; ",""))</f>
        <v/>
      </c>
    </row>
    <row r="21" customFormat="false" ht="16.5" hidden="false" customHeight="true" outlineLevel="0" collapsed="false">
      <c r="A21" s="31" t="n">
        <f aca="false">IF(ROW()-10&lt;=DAY(FimMes),InicioMes+ROW()-11,"")</f>
        <v>46306</v>
      </c>
      <c r="B21" s="32" t="str">
        <f aca="false">IF(A21="","",CHOOSE(WEEKDAY(A21),"Dom","Seg","Ter","Qua","Qui","Sex","Sáb"))</f>
        <v>Dom</v>
      </c>
      <c r="C21" s="41"/>
      <c r="D21" s="42" t="n">
        <v>0.333333333333333</v>
      </c>
      <c r="E21" s="42" t="n">
        <v>0.5</v>
      </c>
      <c r="F21" s="42"/>
      <c r="G21" s="42"/>
      <c r="H21" s="42"/>
      <c r="I21" s="42"/>
      <c r="J21" s="32" t="str">
        <f aca="false">IF(A21="","",IF(OR(C21="Folga (DSR)",C21="Feriado"),"Descanso",IF(OR(C21="Atestado / abonado",C21="Férias",C21="Compensação (banco)"),"Abonado",IF(C21="Trabalho em escala","Útil",AE21))))</f>
        <v>Descanso</v>
      </c>
      <c r="K21" s="43" t="n">
        <f aca="false">IF(A21="",0,ROUND((X21+Y21+Z21-AD21)*1440,0)/1440)</f>
        <v>0.166666666666667</v>
      </c>
      <c r="L21" s="43" t="n">
        <f aca="false">IF(A21="",0,K21+IF(HoraReduzida="Sim",ROUND((AA21+AB21+AC21)/7*1440,0)/1440,0))</f>
        <v>0.166666666666667</v>
      </c>
      <c r="M21" s="43" t="n">
        <f aca="false">IF(OR(A21="",J21&lt;&gt;"Útil"),0,IF(C21="Trabalho em escala",$O$7,INDEX($M$6:$S$6,WEEKDAY(A21))))</f>
        <v>0</v>
      </c>
      <c r="N21" s="44" t="n">
        <f aca="false">MIN(AF21,LimiteHE1)</f>
        <v>0</v>
      </c>
      <c r="O21" s="44" t="n">
        <f aca="false">AF21-N21</f>
        <v>0</v>
      </c>
      <c r="P21" s="44" t="n">
        <f aca="false">IF(J21="Descanso",L21,0)</f>
        <v>0.166666666666667</v>
      </c>
      <c r="Q21" s="43" t="n">
        <f aca="false">IF(A21="",0,ROUND((AA21+AB21+AC21)*IF(HoraReduzida="Sim",8/7,1)*1440,0)/1440)</f>
        <v>0</v>
      </c>
      <c r="R21" s="43" t="n">
        <f aca="false">IF(J21="Descanso",Q21,MIN(Q21,AF21))</f>
        <v>0</v>
      </c>
      <c r="S21" s="45" t="n">
        <f aca="false">IF(OR(J21&lt;&gt;"Útil",AND(K21=0,C21="",A21&gt;DataRef)),0,IF(M21-L21&gt;Tolerancia+1/86400,M21-L21,0))</f>
        <v>0</v>
      </c>
      <c r="T21" s="43" t="n">
        <f aca="false">IF(OR($J$7&lt;&gt;"Sim",A21=""),0,IF(K21&gt;6/24+1/86400,IF(1/24-AI21&gt;TolIntervalo+1/86400,1/24-AI21,0),IF(K21&gt;4/24+1/86400,IF(15/1440-AI21&gt;TolIntervalo+1/86400,15/1440-AI21,0),0)))</f>
        <v>0</v>
      </c>
      <c r="U21" s="43" t="n">
        <f aca="false">IF(OR(AG21="",AH20=""),0,MAX(0,ROUND((11/24-(AG21-AH20))*1440,0)/1440))</f>
        <v>0</v>
      </c>
      <c r="V21" s="46" t="str">
        <f aca="false">IF(AJ21="","",LEFT(AJ21,LEN(AJ21)-2))</f>
        <v/>
      </c>
      <c r="X21" s="47" t="n">
        <f aca="false">IF(OR(D21="",E21=""),0,MOD(E21-D21,1))</f>
        <v>0.166666666666667</v>
      </c>
      <c r="Y21" s="47" t="n">
        <f aca="false">IF(OR(F21="",G21=""),0,MOD(G21-F21,1))</f>
        <v>0</v>
      </c>
      <c r="Z21" s="47" t="n">
        <f aca="false">IF(OR(H21="",I21=""),0,MOD(I21-H21,1))</f>
        <v>0</v>
      </c>
      <c r="AA21" s="47" t="n">
        <f aca="false">IF(X21=0,0,MAX(0,MIN(D21+X21,5/24)-D21)+MAX(0,MIN(D21+X21,29/24)-MAX(D21,22/24)))</f>
        <v>0</v>
      </c>
      <c r="AB21" s="47" t="n">
        <f aca="false">IF(Y21=0,0,MAX(0,MIN(F21+Y21,5/24)-F21)+MAX(0,MIN(F21+Y21,29/24)-MAX(F21,22/24)))</f>
        <v>0</v>
      </c>
      <c r="AC21" s="47" t="n">
        <f aca="false">IF(Z21=0,0,MAX(0,MIN(H21+Z21,5/24)-H21)+MAX(0,MIN(H21+Z21,29/24)-MAX(H21,22/24)))</f>
        <v>0</v>
      </c>
      <c r="AD21" s="47" t="n">
        <f aca="false">IF(AND($J$7="Não",F21="",H21="",X21&gt;6/24),$S$7,0)</f>
        <v>0</v>
      </c>
      <c r="AE21" s="48" t="str">
        <f aca="false">IF(A21="","",IF(OR(WEEKDAY(A21)=1,COUNTIF(Feriados,A21)&gt;0),"Descanso","Útil"))</f>
        <v>Descanso</v>
      </c>
      <c r="AF21" s="47" t="n">
        <f aca="false">IF(J21&lt;&gt;"Útil",0,IF(L21-M21&gt;Tolerancia+1/86400,L21-M21,0))</f>
        <v>0</v>
      </c>
      <c r="AG21" s="49" t="n">
        <f aca="false">IF(OR(A21="",D21=""),"",A21+D21)</f>
        <v>46306.3333333333</v>
      </c>
      <c r="AH21" s="49" t="n">
        <f aca="false">IF(A21="","",IF(AND(H21&lt;&gt;"",I21&lt;&gt;""),A21+I21+IF(I21&lt;D21,1,0),IF(AND(F21&lt;&gt;"",G21&lt;&gt;""),A21+G21+IF(G21&lt;D21,1,0),IF(AND(D21&lt;&gt;"",E21&lt;&gt;""),A21+E21+IF(E21&lt;D21,1,0),""))))</f>
        <v>46306.5</v>
      </c>
      <c r="AI21" s="47" t="n">
        <f aca="false">IF(AND(E21&lt;&gt;"",F21&lt;&gt;""),MOD(F21-E21,1),0)</f>
        <v>0</v>
      </c>
      <c r="AJ21" s="48" t="str">
        <f aca="false">IF(A21="","",IF(OR(AND(D21&lt;&gt;"",E21=""),AND(D21="",E21&lt;&gt;""),AND(F21&lt;&gt;"",G21=""),AND(F21="",G21&lt;&gt;""),AND(H21&lt;&gt;"",I21=""),AND(H21="",I21&lt;&gt;"")),"Marcação incompleta; ","")&amp;IF(AND(J21="Útil",M21&gt;0,K21=0,C21="",A21&lt;=DataRef),"Sem marcações no dia; ","")&amp;IF(T21&gt;0,"Intervalo abaixo do mínimo; ","")&amp;IF(U21&gt;0,"Descanso entre jornadas menor que 11h; ","")&amp;IF(AF21&gt;2/24+1/86400,"Mais de 2h extras no dia (CLT, art. 59); ","")&amp;IF(C21="Falta injustificada","Falta injustificada: pode descontar o DSR da semana; ","")&amp;IF(AND(J21="Abonado",K21&gt;0),"Horas marcadas em dia abonado; ",""))</f>
        <v/>
      </c>
    </row>
    <row r="22" customFormat="false" ht="16.5" hidden="false" customHeight="true" outlineLevel="0" collapsed="false">
      <c r="A22" s="31" t="n">
        <f aca="false">IF(ROW()-10&lt;=DAY(FimMes),InicioMes+ROW()-11,"")</f>
        <v>46307</v>
      </c>
      <c r="B22" s="32" t="str">
        <f aca="false">IF(A22="","",CHOOSE(WEEKDAY(A22),"Dom","Seg","Ter","Qua","Qui","Sex","Sáb"))</f>
        <v>Seg</v>
      </c>
      <c r="C22" s="41"/>
      <c r="D22" s="42"/>
      <c r="E22" s="42"/>
      <c r="F22" s="42"/>
      <c r="G22" s="42"/>
      <c r="H22" s="42"/>
      <c r="I22" s="42"/>
      <c r="J22" s="32" t="str">
        <f aca="false">IF(A22="","",IF(OR(C22="Folga (DSR)",C22="Feriado"),"Descanso",IF(OR(C22="Atestado / abonado",C22="Férias",C22="Compensação (banco)"),"Abonado",IF(C22="Trabalho em escala","Útil",AE22))))</f>
        <v>Descanso</v>
      </c>
      <c r="K22" s="43" t="n">
        <f aca="false">IF(A22="",0,ROUND((X22+Y22+Z22-AD22)*1440,0)/1440)</f>
        <v>0</v>
      </c>
      <c r="L22" s="43" t="n">
        <f aca="false">IF(A22="",0,K22+IF(HoraReduzida="Sim",ROUND((AA22+AB22+AC22)/7*1440,0)/1440,0))</f>
        <v>0</v>
      </c>
      <c r="M22" s="43" t="n">
        <f aca="false">IF(OR(A22="",J22&lt;&gt;"Útil"),0,IF(C22="Trabalho em escala",$O$7,INDEX($M$6:$S$6,WEEKDAY(A22))))</f>
        <v>0</v>
      </c>
      <c r="N22" s="44" t="n">
        <f aca="false">MIN(AF22,LimiteHE1)</f>
        <v>0</v>
      </c>
      <c r="O22" s="44" t="n">
        <f aca="false">AF22-N22</f>
        <v>0</v>
      </c>
      <c r="P22" s="44" t="n">
        <f aca="false">IF(J22="Descanso",L22,0)</f>
        <v>0</v>
      </c>
      <c r="Q22" s="43" t="n">
        <f aca="false">IF(A22="",0,ROUND((AA22+AB22+AC22)*IF(HoraReduzida="Sim",8/7,1)*1440,0)/1440)</f>
        <v>0</v>
      </c>
      <c r="R22" s="43" t="n">
        <f aca="false">IF(J22="Descanso",Q22,MIN(Q22,AF22))</f>
        <v>0</v>
      </c>
      <c r="S22" s="45" t="n">
        <f aca="false">IF(OR(J22&lt;&gt;"Útil",AND(K22=0,C22="",A22&gt;DataRef)),0,IF(M22-L22&gt;Tolerancia+1/86400,M22-L22,0))</f>
        <v>0</v>
      </c>
      <c r="T22" s="43" t="n">
        <f aca="false">IF(OR($J$7&lt;&gt;"Sim",A22=""),0,IF(K22&gt;6/24+1/86400,IF(1/24-AI22&gt;TolIntervalo+1/86400,1/24-AI22,0),IF(K22&gt;4/24+1/86400,IF(15/1440-AI22&gt;TolIntervalo+1/86400,15/1440-AI22,0),0)))</f>
        <v>0</v>
      </c>
      <c r="U22" s="43" t="n">
        <f aca="false">IF(OR(AG22="",AH21=""),0,MAX(0,ROUND((11/24-(AG22-AH21))*1440,0)/1440))</f>
        <v>0</v>
      </c>
      <c r="V22" s="46" t="str">
        <f aca="false">IF(AJ22="","",LEFT(AJ22,LEN(AJ22)-2))</f>
        <v/>
      </c>
      <c r="X22" s="47" t="n">
        <f aca="false">IF(OR(D22="",E22=""),0,MOD(E22-D22,1))</f>
        <v>0</v>
      </c>
      <c r="Y22" s="47" t="n">
        <f aca="false">IF(OR(F22="",G22=""),0,MOD(G22-F22,1))</f>
        <v>0</v>
      </c>
      <c r="Z22" s="47" t="n">
        <f aca="false">IF(OR(H22="",I22=""),0,MOD(I22-H22,1))</f>
        <v>0</v>
      </c>
      <c r="AA22" s="47" t="n">
        <f aca="false">IF(X22=0,0,MAX(0,MIN(D22+X22,5/24)-D22)+MAX(0,MIN(D22+X22,29/24)-MAX(D22,22/24)))</f>
        <v>0</v>
      </c>
      <c r="AB22" s="47" t="n">
        <f aca="false">IF(Y22=0,0,MAX(0,MIN(F22+Y22,5/24)-F22)+MAX(0,MIN(F22+Y22,29/24)-MAX(F22,22/24)))</f>
        <v>0</v>
      </c>
      <c r="AC22" s="47" t="n">
        <f aca="false">IF(Z22=0,0,MAX(0,MIN(H22+Z22,5/24)-H22)+MAX(0,MIN(H22+Z22,29/24)-MAX(H22,22/24)))</f>
        <v>0</v>
      </c>
      <c r="AD22" s="47" t="n">
        <f aca="false">IF(AND($J$7="Não",F22="",H22="",X22&gt;6/24),$S$7,0)</f>
        <v>0</v>
      </c>
      <c r="AE22" s="48" t="str">
        <f aca="false">IF(A22="","",IF(OR(WEEKDAY(A22)=1,COUNTIF(Feriados,A22)&gt;0),"Descanso","Útil"))</f>
        <v>Descanso</v>
      </c>
      <c r="AF22" s="47" t="n">
        <f aca="false">IF(J22&lt;&gt;"Útil",0,IF(L22-M22&gt;Tolerancia+1/86400,L22-M22,0))</f>
        <v>0</v>
      </c>
      <c r="AG22" s="49" t="str">
        <f aca="false">IF(OR(A22="",D22=""),"",A22+D22)</f>
        <v/>
      </c>
      <c r="AH22" s="49" t="str">
        <f aca="false">IF(A22="","",IF(AND(H22&lt;&gt;"",I22&lt;&gt;""),A22+I22+IF(I22&lt;D22,1,0),IF(AND(F22&lt;&gt;"",G22&lt;&gt;""),A22+G22+IF(G22&lt;D22,1,0),IF(AND(D22&lt;&gt;"",E22&lt;&gt;""),A22+E22+IF(E22&lt;D22,1,0),""))))</f>
        <v/>
      </c>
      <c r="AI22" s="47" t="n">
        <f aca="false">IF(AND(E22&lt;&gt;"",F22&lt;&gt;""),MOD(F22-E22,1),0)</f>
        <v>0</v>
      </c>
      <c r="AJ22" s="48" t="str">
        <f aca="false">IF(A22="","",IF(OR(AND(D22&lt;&gt;"",E22=""),AND(D22="",E22&lt;&gt;""),AND(F22&lt;&gt;"",G22=""),AND(F22="",G22&lt;&gt;""),AND(H22&lt;&gt;"",I22=""),AND(H22="",I22&lt;&gt;"")),"Marcação incompleta; ","")&amp;IF(AND(J22="Útil",M22&gt;0,K22=0,C22="",A22&lt;=DataRef),"Sem marcações no dia; ","")&amp;IF(T22&gt;0,"Intervalo abaixo do mínimo; ","")&amp;IF(U22&gt;0,"Descanso entre jornadas menor que 11h; ","")&amp;IF(AF22&gt;2/24+1/86400,"Mais de 2h extras no dia (CLT, art. 59); ","")&amp;IF(C22="Falta injustificada","Falta injustificada: pode descontar o DSR da semana; ","")&amp;IF(AND(J22="Abonado",K22&gt;0),"Horas marcadas em dia abonado; ",""))</f>
        <v/>
      </c>
    </row>
    <row r="23" customFormat="false" ht="16.5" hidden="false" customHeight="true" outlineLevel="0" collapsed="false">
      <c r="A23" s="31" t="n">
        <f aca="false">IF(ROW()-10&lt;=DAY(FimMes),InicioMes+ROW()-11,"")</f>
        <v>46308</v>
      </c>
      <c r="B23" s="32" t="str">
        <f aca="false">IF(A23="","",CHOOSE(WEEKDAY(A23),"Dom","Seg","Ter","Qua","Qui","Sex","Sáb"))</f>
        <v>Ter</v>
      </c>
      <c r="C23" s="41"/>
      <c r="D23" s="42" t="n">
        <v>0.333333333333333</v>
      </c>
      <c r="E23" s="42" t="n">
        <v>0.5</v>
      </c>
      <c r="F23" s="42" t="n">
        <v>0.541666666666667</v>
      </c>
      <c r="G23" s="42" t="n">
        <v>0.741666666666667</v>
      </c>
      <c r="H23" s="42" t="n">
        <v>0.770833333333333</v>
      </c>
      <c r="I23" s="42" t="n">
        <v>0.979166666666667</v>
      </c>
      <c r="J23" s="32" t="str">
        <f aca="false">IF(A23="","",IF(OR(C23="Folga (DSR)",C23="Feriado"),"Descanso",IF(OR(C23="Atestado / abonado",C23="Férias",C23="Compensação (banco)"),"Abonado",IF(C23="Trabalho em escala","Útil",AE23))))</f>
        <v>Útil</v>
      </c>
      <c r="K23" s="43" t="n">
        <f aca="false">IF(A23="",0,ROUND((X23+Y23+Z23-AD23)*1440,0)/1440)</f>
        <v>0.575</v>
      </c>
      <c r="L23" s="43" t="n">
        <f aca="false">IF(A23="",0,K23+IF(HoraReduzida="Sim",ROUND((AA23+AB23+AC23)/7*1440,0)/1440,0))</f>
        <v>0.584027777777778</v>
      </c>
      <c r="M23" s="43" t="n">
        <f aca="false">IF(OR(A23="",J23&lt;&gt;"Útil"),0,IF(C23="Trabalho em escala",$O$7,INDEX($M$6:$S$6,WEEKDAY(A23))))</f>
        <v>0.366666666666667</v>
      </c>
      <c r="N23" s="44" t="n">
        <f aca="false">MIN(AF23,LimiteHE1)</f>
        <v>0.0833333333333333</v>
      </c>
      <c r="O23" s="44" t="n">
        <f aca="false">AF23-N23</f>
        <v>0.134027777777778</v>
      </c>
      <c r="P23" s="44" t="n">
        <f aca="false">IF(J23="Descanso",L23,0)</f>
        <v>0</v>
      </c>
      <c r="Q23" s="43" t="n">
        <f aca="false">IF(A23="",0,ROUND((AA23+AB23+AC23)*IF(HoraReduzida="Sim",8/7,1)*1440,0)/1440)</f>
        <v>0.0715277777777778</v>
      </c>
      <c r="R23" s="43" t="n">
        <f aca="false">IF(J23="Descanso",Q23,MIN(Q23,AF23))</f>
        <v>0.0715277777777778</v>
      </c>
      <c r="S23" s="45" t="n">
        <f aca="false">IF(OR(J23&lt;&gt;"Útil",AND(K23=0,C23="",A23&gt;DataRef)),0,IF(M23-L23&gt;Tolerancia+1/86400,M23-L23,0))</f>
        <v>0</v>
      </c>
      <c r="T23" s="43" t="n">
        <f aca="false">IF(OR($J$7&lt;&gt;"Sim",A23=""),0,IF(K23&gt;6/24+1/86400,IF(1/24-AI23&gt;TolIntervalo+1/86400,1/24-AI23,0),IF(K23&gt;4/24+1/86400,IF(15/1440-AI23&gt;TolIntervalo+1/86400,15/1440-AI23,0),0)))</f>
        <v>0</v>
      </c>
      <c r="U23" s="43" t="n">
        <f aca="false">IF(OR(AG23="",AH22=""),0,MAX(0,ROUND((11/24-(AG23-AH22))*1440,0)/1440))</f>
        <v>0</v>
      </c>
      <c r="V23" s="46" t="str">
        <f aca="false">IF(AJ23="","",LEFT(AJ23,LEN(AJ23)-2))</f>
        <v>Mais de 2h extras no dia (CLT, art. 59)</v>
      </c>
      <c r="X23" s="47" t="n">
        <f aca="false">IF(OR(D23="",E23=""),0,MOD(E23-D23,1))</f>
        <v>0.166666666666667</v>
      </c>
      <c r="Y23" s="47" t="n">
        <f aca="false">IF(OR(F23="",G23=""),0,MOD(G23-F23,1))</f>
        <v>0.2</v>
      </c>
      <c r="Z23" s="47" t="n">
        <f aca="false">IF(OR(H23="",I23=""),0,MOD(I23-H23,1))</f>
        <v>0.208333333333333</v>
      </c>
      <c r="AA23" s="47" t="n">
        <f aca="false">IF(X23=0,0,MAX(0,MIN(D23+X23,5/24)-D23)+MAX(0,MIN(D23+X23,29/24)-MAX(D23,22/24)))</f>
        <v>0</v>
      </c>
      <c r="AB23" s="47" t="n">
        <f aca="false">IF(Y23=0,0,MAX(0,MIN(F23+Y23,5/24)-F23)+MAX(0,MIN(F23+Y23,29/24)-MAX(F23,22/24)))</f>
        <v>0</v>
      </c>
      <c r="AC23" s="47" t="n">
        <f aca="false">IF(Z23=0,0,MAX(0,MIN(H23+Z23,5/24)-H23)+MAX(0,MIN(H23+Z23,29/24)-MAX(H23,22/24)))</f>
        <v>0.0625</v>
      </c>
      <c r="AD23" s="47" t="n">
        <f aca="false">IF(AND($J$7="Não",F23="",H23="",X23&gt;6/24),$S$7,0)</f>
        <v>0</v>
      </c>
      <c r="AE23" s="48" t="str">
        <f aca="false">IF(A23="","",IF(OR(WEEKDAY(A23)=1,COUNTIF(Feriados,A23)&gt;0),"Descanso","Útil"))</f>
        <v>Útil</v>
      </c>
      <c r="AF23" s="47" t="n">
        <f aca="false">IF(J23&lt;&gt;"Útil",0,IF(L23-M23&gt;Tolerancia+1/86400,L23-M23,0))</f>
        <v>0.217361111111111</v>
      </c>
      <c r="AG23" s="49" t="n">
        <f aca="false">IF(OR(A23="",D23=""),"",A23+D23)</f>
        <v>46308.3333333333</v>
      </c>
      <c r="AH23" s="49" t="n">
        <f aca="false">IF(A23="","",IF(AND(H23&lt;&gt;"",I23&lt;&gt;""),A23+I23+IF(I23&lt;D23,1,0),IF(AND(F23&lt;&gt;"",G23&lt;&gt;""),A23+G23+IF(G23&lt;D23,1,0),IF(AND(D23&lt;&gt;"",E23&lt;&gt;""),A23+E23+IF(E23&lt;D23,1,0),""))))</f>
        <v>46308.9791666667</v>
      </c>
      <c r="AI23" s="47" t="n">
        <f aca="false">IF(AND(E23&lt;&gt;"",F23&lt;&gt;""),MOD(F23-E23,1),0)</f>
        <v>0.0416666666666667</v>
      </c>
      <c r="AJ23" s="48" t="str">
        <f aca="false">IF(A23="","",IF(OR(AND(D23&lt;&gt;"",E23=""),AND(D23="",E23&lt;&gt;""),AND(F23&lt;&gt;"",G23=""),AND(F23="",G23&lt;&gt;""),AND(H23&lt;&gt;"",I23=""),AND(H23="",I23&lt;&gt;"")),"Marcação incompleta; ","")&amp;IF(AND(J23="Útil",M23&gt;0,K23=0,C23="",A23&lt;=DataRef),"Sem marcações no dia; ","")&amp;IF(T23&gt;0,"Intervalo abaixo do mínimo; ","")&amp;IF(U23&gt;0,"Descanso entre jornadas menor que 11h; ","")&amp;IF(AF23&gt;2/24+1/86400,"Mais de 2h extras no dia (CLT, art. 59); ","")&amp;IF(C23="Falta injustificada","Falta injustificada: pode descontar o DSR da semana; ","")&amp;IF(AND(J23="Abonado",K23&gt;0),"Horas marcadas em dia abonado; ",""))</f>
        <v>Mais de 2h extras no dia (CLT, art. 59); </v>
      </c>
    </row>
    <row r="24" customFormat="false" ht="16.5" hidden="false" customHeight="true" outlineLevel="0" collapsed="false">
      <c r="A24" s="31" t="n">
        <f aca="false">IF(ROW()-10&lt;=DAY(FimMes),InicioMes+ROW()-11,"")</f>
        <v>46309</v>
      </c>
      <c r="B24" s="32" t="str">
        <f aca="false">IF(A24="","",CHOOSE(WEEKDAY(A24),"Dom","Seg","Ter","Qua","Qui","Sex","Sáb"))</f>
        <v>Qua</v>
      </c>
      <c r="C24" s="41"/>
      <c r="D24" s="42" t="n">
        <v>0.333333333333333</v>
      </c>
      <c r="E24" s="42" t="n">
        <v>0.5</v>
      </c>
      <c r="F24" s="42" t="n">
        <v>0.541666666666667</v>
      </c>
      <c r="G24" s="42" t="n">
        <v>0.741666666666667</v>
      </c>
      <c r="H24" s="42"/>
      <c r="I24" s="42"/>
      <c r="J24" s="32" t="str">
        <f aca="false">IF(A24="","",IF(OR(C24="Folga (DSR)",C24="Feriado"),"Descanso",IF(OR(C24="Atestado / abonado",C24="Férias",C24="Compensação (banco)"),"Abonado",IF(C24="Trabalho em escala","Útil",AE24))))</f>
        <v>Útil</v>
      </c>
      <c r="K24" s="43" t="n">
        <f aca="false">IF(A24="",0,ROUND((X24+Y24+Z24-AD24)*1440,0)/1440)</f>
        <v>0.366666666666667</v>
      </c>
      <c r="L24" s="43" t="n">
        <f aca="false">IF(A24="",0,K24+IF(HoraReduzida="Sim",ROUND((AA24+AB24+AC24)/7*1440,0)/1440,0))</f>
        <v>0.366666666666667</v>
      </c>
      <c r="M24" s="43" t="n">
        <f aca="false">IF(OR(A24="",J24&lt;&gt;"Útil"),0,IF(C24="Trabalho em escala",$O$7,INDEX($M$6:$S$6,WEEKDAY(A24))))</f>
        <v>0.366666666666667</v>
      </c>
      <c r="N24" s="44" t="n">
        <f aca="false">MIN(AF24,LimiteHE1)</f>
        <v>0</v>
      </c>
      <c r="O24" s="44" t="n">
        <f aca="false">AF24-N24</f>
        <v>0</v>
      </c>
      <c r="P24" s="44" t="n">
        <f aca="false">IF(J24="Descanso",L24,0)</f>
        <v>0</v>
      </c>
      <c r="Q24" s="43" t="n">
        <f aca="false">IF(A24="",0,ROUND((AA24+AB24+AC24)*IF(HoraReduzida="Sim",8/7,1)*1440,0)/1440)</f>
        <v>0</v>
      </c>
      <c r="R24" s="43" t="n">
        <f aca="false">IF(J24="Descanso",Q24,MIN(Q24,AF24))</f>
        <v>0</v>
      </c>
      <c r="S24" s="45" t="n">
        <f aca="false">IF(OR(J24&lt;&gt;"Útil",AND(K24=0,C24="",A24&gt;DataRef)),0,IF(M24-L24&gt;Tolerancia+1/86400,M24-L24,0))</f>
        <v>0</v>
      </c>
      <c r="T24" s="43" t="n">
        <f aca="false">IF(OR($J$7&lt;&gt;"Sim",A24=""),0,IF(K24&gt;6/24+1/86400,IF(1/24-AI24&gt;TolIntervalo+1/86400,1/24-AI24,0),IF(K24&gt;4/24+1/86400,IF(15/1440-AI24&gt;TolIntervalo+1/86400,15/1440-AI24,0),0)))</f>
        <v>0</v>
      </c>
      <c r="U24" s="43" t="n">
        <f aca="false">IF(OR(AG24="",AH23=""),0,MAX(0,ROUND((11/24-(AG24-AH23))*1440,0)/1440))</f>
        <v>0.104166666666667</v>
      </c>
      <c r="V24" s="46" t="str">
        <f aca="false">IF(AJ24="","",LEFT(AJ24,LEN(AJ24)-2))</f>
        <v>Descanso entre jornadas menor que 11h</v>
      </c>
      <c r="X24" s="47" t="n">
        <f aca="false">IF(OR(D24="",E24=""),0,MOD(E24-D24,1))</f>
        <v>0.166666666666667</v>
      </c>
      <c r="Y24" s="47" t="n">
        <f aca="false">IF(OR(F24="",G24=""),0,MOD(G24-F24,1))</f>
        <v>0.2</v>
      </c>
      <c r="Z24" s="47" t="n">
        <f aca="false">IF(OR(H24="",I24=""),0,MOD(I24-H24,1))</f>
        <v>0</v>
      </c>
      <c r="AA24" s="47" t="n">
        <f aca="false">IF(X24=0,0,MAX(0,MIN(D24+X24,5/24)-D24)+MAX(0,MIN(D24+X24,29/24)-MAX(D24,22/24)))</f>
        <v>0</v>
      </c>
      <c r="AB24" s="47" t="n">
        <f aca="false">IF(Y24=0,0,MAX(0,MIN(F24+Y24,5/24)-F24)+MAX(0,MIN(F24+Y24,29/24)-MAX(F24,22/24)))</f>
        <v>0</v>
      </c>
      <c r="AC24" s="47" t="n">
        <f aca="false">IF(Z24=0,0,MAX(0,MIN(H24+Z24,5/24)-H24)+MAX(0,MIN(H24+Z24,29/24)-MAX(H24,22/24)))</f>
        <v>0</v>
      </c>
      <c r="AD24" s="47" t="n">
        <f aca="false">IF(AND($J$7="Não",F24="",H24="",X24&gt;6/24),$S$7,0)</f>
        <v>0</v>
      </c>
      <c r="AE24" s="48" t="str">
        <f aca="false">IF(A24="","",IF(OR(WEEKDAY(A24)=1,COUNTIF(Feriados,A24)&gt;0),"Descanso","Útil"))</f>
        <v>Útil</v>
      </c>
      <c r="AF24" s="47" t="n">
        <f aca="false">IF(J24&lt;&gt;"Útil",0,IF(L24-M24&gt;Tolerancia+1/86400,L24-M24,0))</f>
        <v>0</v>
      </c>
      <c r="AG24" s="49" t="n">
        <f aca="false">IF(OR(A24="",D24=""),"",A24+D24)</f>
        <v>46309.3333333333</v>
      </c>
      <c r="AH24" s="49" t="n">
        <f aca="false">IF(A24="","",IF(AND(H24&lt;&gt;"",I24&lt;&gt;""),A24+I24+IF(I24&lt;D24,1,0),IF(AND(F24&lt;&gt;"",G24&lt;&gt;""),A24+G24+IF(G24&lt;D24,1,0),IF(AND(D24&lt;&gt;"",E24&lt;&gt;""),A24+E24+IF(E24&lt;D24,1,0),""))))</f>
        <v>46309.7416666667</v>
      </c>
      <c r="AI24" s="47" t="n">
        <f aca="false">IF(AND(E24&lt;&gt;"",F24&lt;&gt;""),MOD(F24-E24,1),0)</f>
        <v>0.0416666666666667</v>
      </c>
      <c r="AJ24" s="48" t="str">
        <f aca="false">IF(A24="","",IF(OR(AND(D24&lt;&gt;"",E24=""),AND(D24="",E24&lt;&gt;""),AND(F24&lt;&gt;"",G24=""),AND(F24="",G24&lt;&gt;""),AND(H24&lt;&gt;"",I24=""),AND(H24="",I24&lt;&gt;"")),"Marcação incompleta; ","")&amp;IF(AND(J24="Útil",M24&gt;0,K24=0,C24="",A24&lt;=DataRef),"Sem marcações no dia; ","")&amp;IF(T24&gt;0,"Intervalo abaixo do mínimo; ","")&amp;IF(U24&gt;0,"Descanso entre jornadas menor que 11h; ","")&amp;IF(AF24&gt;2/24+1/86400,"Mais de 2h extras no dia (CLT, art. 59); ","")&amp;IF(C24="Falta injustificada","Falta injustificada: pode descontar o DSR da semana; ","")&amp;IF(AND(J24="Abonado",K24&gt;0),"Horas marcadas em dia abonado; ",""))</f>
        <v>Descanso entre jornadas menor que 11h; </v>
      </c>
    </row>
    <row r="25" customFormat="false" ht="16.5" hidden="false" customHeight="true" outlineLevel="0" collapsed="false">
      <c r="A25" s="31" t="n">
        <f aca="false">IF(ROW()-10&lt;=DAY(FimMes),InicioMes+ROW()-11,"")</f>
        <v>46310</v>
      </c>
      <c r="B25" s="32" t="str">
        <f aca="false">IF(A25="","",CHOOSE(WEEKDAY(A25),"Dom","Seg","Ter","Qua","Qui","Sex","Sáb"))</f>
        <v>Qui</v>
      </c>
      <c r="C25" s="41" t="s">
        <v>164</v>
      </c>
      <c r="D25" s="42"/>
      <c r="E25" s="42"/>
      <c r="F25" s="42"/>
      <c r="G25" s="42"/>
      <c r="H25" s="42"/>
      <c r="I25" s="42"/>
      <c r="J25" s="32" t="str">
        <f aca="false">IF(A25="","",IF(OR(C25="Folga (DSR)",C25="Feriado"),"Descanso",IF(OR(C25="Atestado / abonado",C25="Férias",C25="Compensação (banco)"),"Abonado",IF(C25="Trabalho em escala","Útil",AE25))))</f>
        <v>Abonado</v>
      </c>
      <c r="K25" s="43" t="n">
        <f aca="false">IF(A25="",0,ROUND((X25+Y25+Z25-AD25)*1440,0)/1440)</f>
        <v>0</v>
      </c>
      <c r="L25" s="43" t="n">
        <f aca="false">IF(A25="",0,K25+IF(HoraReduzida="Sim",ROUND((AA25+AB25+AC25)/7*1440,0)/1440,0))</f>
        <v>0</v>
      </c>
      <c r="M25" s="43" t="n">
        <f aca="false">IF(OR(A25="",J25&lt;&gt;"Útil"),0,IF(C25="Trabalho em escala",$O$7,INDEX($M$6:$S$6,WEEKDAY(A25))))</f>
        <v>0</v>
      </c>
      <c r="N25" s="44" t="n">
        <f aca="false">MIN(AF25,LimiteHE1)</f>
        <v>0</v>
      </c>
      <c r="O25" s="44" t="n">
        <f aca="false">AF25-N25</f>
        <v>0</v>
      </c>
      <c r="P25" s="44" t="n">
        <f aca="false">IF(J25="Descanso",L25,0)</f>
        <v>0</v>
      </c>
      <c r="Q25" s="43" t="n">
        <f aca="false">IF(A25="",0,ROUND((AA25+AB25+AC25)*IF(HoraReduzida="Sim",8/7,1)*1440,0)/1440)</f>
        <v>0</v>
      </c>
      <c r="R25" s="43" t="n">
        <f aca="false">IF(J25="Descanso",Q25,MIN(Q25,AF25))</f>
        <v>0</v>
      </c>
      <c r="S25" s="45" t="n">
        <f aca="false">IF(OR(J25&lt;&gt;"Útil",AND(K25=0,C25="",A25&gt;DataRef)),0,IF(M25-L25&gt;Tolerancia+1/86400,M25-L25,0))</f>
        <v>0</v>
      </c>
      <c r="T25" s="43" t="n">
        <f aca="false">IF(OR($J$7&lt;&gt;"Sim",A25=""),0,IF(K25&gt;6/24+1/86400,IF(1/24-AI25&gt;TolIntervalo+1/86400,1/24-AI25,0),IF(K25&gt;4/24+1/86400,IF(15/1440-AI25&gt;TolIntervalo+1/86400,15/1440-AI25,0),0)))</f>
        <v>0</v>
      </c>
      <c r="U25" s="43" t="n">
        <f aca="false">IF(OR(AG25="",AH24=""),0,MAX(0,ROUND((11/24-(AG25-AH24))*1440,0)/1440))</f>
        <v>0</v>
      </c>
      <c r="V25" s="46" t="str">
        <f aca="false">IF(AJ25="","",LEFT(AJ25,LEN(AJ25)-2))</f>
        <v/>
      </c>
      <c r="X25" s="47" t="n">
        <f aca="false">IF(OR(D25="",E25=""),0,MOD(E25-D25,1))</f>
        <v>0</v>
      </c>
      <c r="Y25" s="47" t="n">
        <f aca="false">IF(OR(F25="",G25=""),0,MOD(G25-F25,1))</f>
        <v>0</v>
      </c>
      <c r="Z25" s="47" t="n">
        <f aca="false">IF(OR(H25="",I25=""),0,MOD(I25-H25,1))</f>
        <v>0</v>
      </c>
      <c r="AA25" s="47" t="n">
        <f aca="false">IF(X25=0,0,MAX(0,MIN(D25+X25,5/24)-D25)+MAX(0,MIN(D25+X25,29/24)-MAX(D25,22/24)))</f>
        <v>0</v>
      </c>
      <c r="AB25" s="47" t="n">
        <f aca="false">IF(Y25=0,0,MAX(0,MIN(F25+Y25,5/24)-F25)+MAX(0,MIN(F25+Y25,29/24)-MAX(F25,22/24)))</f>
        <v>0</v>
      </c>
      <c r="AC25" s="47" t="n">
        <f aca="false">IF(Z25=0,0,MAX(0,MIN(H25+Z25,5/24)-H25)+MAX(0,MIN(H25+Z25,29/24)-MAX(H25,22/24)))</f>
        <v>0</v>
      </c>
      <c r="AD25" s="47" t="n">
        <f aca="false">IF(AND($J$7="Não",F25="",H25="",X25&gt;6/24),$S$7,0)</f>
        <v>0</v>
      </c>
      <c r="AE25" s="48" t="str">
        <f aca="false">IF(A25="","",IF(OR(WEEKDAY(A25)=1,COUNTIF(Feriados,A25)&gt;0),"Descanso","Útil"))</f>
        <v>Útil</v>
      </c>
      <c r="AF25" s="47" t="n">
        <f aca="false">IF(J25&lt;&gt;"Útil",0,IF(L25-M25&gt;Tolerancia+1/86400,L25-M25,0))</f>
        <v>0</v>
      </c>
      <c r="AG25" s="49" t="str">
        <f aca="false">IF(OR(A25="",D25=""),"",A25+D25)</f>
        <v/>
      </c>
      <c r="AH25" s="49" t="str">
        <f aca="false">IF(A25="","",IF(AND(H25&lt;&gt;"",I25&lt;&gt;""),A25+I25+IF(I25&lt;D25,1,0),IF(AND(F25&lt;&gt;"",G25&lt;&gt;""),A25+G25+IF(G25&lt;D25,1,0),IF(AND(D25&lt;&gt;"",E25&lt;&gt;""),A25+E25+IF(E25&lt;D25,1,0),""))))</f>
        <v/>
      </c>
      <c r="AI25" s="47" t="n">
        <f aca="false">IF(AND(E25&lt;&gt;"",F25&lt;&gt;""),MOD(F25-E25,1),0)</f>
        <v>0</v>
      </c>
      <c r="AJ25" s="48" t="str">
        <f aca="false">IF(A25="","",IF(OR(AND(D25&lt;&gt;"",E25=""),AND(D25="",E25&lt;&gt;""),AND(F25&lt;&gt;"",G25=""),AND(F25="",G25&lt;&gt;""),AND(H25&lt;&gt;"",I25=""),AND(H25="",I25&lt;&gt;"")),"Marcação incompleta; ","")&amp;IF(AND(J25="Útil",M25&gt;0,K25=0,C25="",A25&lt;=DataRef),"Sem marcações no dia; ","")&amp;IF(T25&gt;0,"Intervalo abaixo do mínimo; ","")&amp;IF(U25&gt;0,"Descanso entre jornadas menor que 11h; ","")&amp;IF(AF25&gt;2/24+1/86400,"Mais de 2h extras no dia (CLT, art. 59); ","")&amp;IF(C25="Falta injustificada","Falta injustificada: pode descontar o DSR da semana; ","")&amp;IF(AND(J25="Abonado",K25&gt;0),"Horas marcadas em dia abonado; ",""))</f>
        <v/>
      </c>
    </row>
    <row r="26" customFormat="false" ht="16.5" hidden="false" customHeight="true" outlineLevel="0" collapsed="false">
      <c r="A26" s="31" t="n">
        <f aca="false">IF(ROW()-10&lt;=DAY(FimMes),InicioMes+ROW()-11,"")</f>
        <v>46311</v>
      </c>
      <c r="B26" s="32" t="str">
        <f aca="false">IF(A26="","",CHOOSE(WEEKDAY(A26),"Dom","Seg","Ter","Qua","Qui","Sex","Sáb"))</f>
        <v>Sex</v>
      </c>
      <c r="C26" s="41"/>
      <c r="D26" s="42" t="n">
        <v>0.333333333333333</v>
      </c>
      <c r="E26" s="42" t="n">
        <v>0.5</v>
      </c>
      <c r="F26" s="42" t="n">
        <v>0.541666666666667</v>
      </c>
      <c r="G26" s="42" t="n">
        <v>0.741666666666667</v>
      </c>
      <c r="H26" s="42"/>
      <c r="I26" s="42"/>
      <c r="J26" s="32" t="str">
        <f aca="false">IF(A26="","",IF(OR(C26="Folga (DSR)",C26="Feriado"),"Descanso",IF(OR(C26="Atestado / abonado",C26="Férias",C26="Compensação (banco)"),"Abonado",IF(C26="Trabalho em escala","Útil",AE26))))</f>
        <v>Útil</v>
      </c>
      <c r="K26" s="43" t="n">
        <f aca="false">IF(A26="",0,ROUND((X26+Y26+Z26-AD26)*1440,0)/1440)</f>
        <v>0.366666666666667</v>
      </c>
      <c r="L26" s="43" t="n">
        <f aca="false">IF(A26="",0,K26+IF(HoraReduzida="Sim",ROUND((AA26+AB26+AC26)/7*1440,0)/1440,0))</f>
        <v>0.366666666666667</v>
      </c>
      <c r="M26" s="43" t="n">
        <f aca="false">IF(OR(A26="",J26&lt;&gt;"Útil"),0,IF(C26="Trabalho em escala",$O$7,INDEX($M$6:$S$6,WEEKDAY(A26))))</f>
        <v>0.366666666666667</v>
      </c>
      <c r="N26" s="44" t="n">
        <f aca="false">MIN(AF26,LimiteHE1)</f>
        <v>0</v>
      </c>
      <c r="O26" s="44" t="n">
        <f aca="false">AF26-N26</f>
        <v>0</v>
      </c>
      <c r="P26" s="44" t="n">
        <f aca="false">IF(J26="Descanso",L26,0)</f>
        <v>0</v>
      </c>
      <c r="Q26" s="43" t="n">
        <f aca="false">IF(A26="",0,ROUND((AA26+AB26+AC26)*IF(HoraReduzida="Sim",8/7,1)*1440,0)/1440)</f>
        <v>0</v>
      </c>
      <c r="R26" s="43" t="n">
        <f aca="false">IF(J26="Descanso",Q26,MIN(Q26,AF26))</f>
        <v>0</v>
      </c>
      <c r="S26" s="45" t="n">
        <f aca="false">IF(OR(J26&lt;&gt;"Útil",AND(K26=0,C26="",A26&gt;DataRef)),0,IF(M26-L26&gt;Tolerancia+1/86400,M26-L26,0))</f>
        <v>0</v>
      </c>
      <c r="T26" s="43" t="n">
        <f aca="false">IF(OR($J$7&lt;&gt;"Sim",A26=""),0,IF(K26&gt;6/24+1/86400,IF(1/24-AI26&gt;TolIntervalo+1/86400,1/24-AI26,0),IF(K26&gt;4/24+1/86400,IF(15/1440-AI26&gt;TolIntervalo+1/86400,15/1440-AI26,0),0)))</f>
        <v>0</v>
      </c>
      <c r="U26" s="43" t="n">
        <f aca="false">IF(OR(AG26="",AH25=""),0,MAX(0,ROUND((11/24-(AG26-AH25))*1440,0)/1440))</f>
        <v>0</v>
      </c>
      <c r="V26" s="46" t="str">
        <f aca="false">IF(AJ26="","",LEFT(AJ26,LEN(AJ26)-2))</f>
        <v/>
      </c>
      <c r="X26" s="47" t="n">
        <f aca="false">IF(OR(D26="",E26=""),0,MOD(E26-D26,1))</f>
        <v>0.166666666666667</v>
      </c>
      <c r="Y26" s="47" t="n">
        <f aca="false">IF(OR(F26="",G26=""),0,MOD(G26-F26,1))</f>
        <v>0.2</v>
      </c>
      <c r="Z26" s="47" t="n">
        <f aca="false">IF(OR(H26="",I26=""),0,MOD(I26-H26,1))</f>
        <v>0</v>
      </c>
      <c r="AA26" s="47" t="n">
        <f aca="false">IF(X26=0,0,MAX(0,MIN(D26+X26,5/24)-D26)+MAX(0,MIN(D26+X26,29/24)-MAX(D26,22/24)))</f>
        <v>0</v>
      </c>
      <c r="AB26" s="47" t="n">
        <f aca="false">IF(Y26=0,0,MAX(0,MIN(F26+Y26,5/24)-F26)+MAX(0,MIN(F26+Y26,29/24)-MAX(F26,22/24)))</f>
        <v>0</v>
      </c>
      <c r="AC26" s="47" t="n">
        <f aca="false">IF(Z26=0,0,MAX(0,MIN(H26+Z26,5/24)-H26)+MAX(0,MIN(H26+Z26,29/24)-MAX(H26,22/24)))</f>
        <v>0</v>
      </c>
      <c r="AD26" s="47" t="n">
        <f aca="false">IF(AND($J$7="Não",F26="",H26="",X26&gt;6/24),$S$7,0)</f>
        <v>0</v>
      </c>
      <c r="AE26" s="48" t="str">
        <f aca="false">IF(A26="","",IF(OR(WEEKDAY(A26)=1,COUNTIF(Feriados,A26)&gt;0),"Descanso","Útil"))</f>
        <v>Útil</v>
      </c>
      <c r="AF26" s="47" t="n">
        <f aca="false">IF(J26&lt;&gt;"Útil",0,IF(L26-M26&gt;Tolerancia+1/86400,L26-M26,0))</f>
        <v>0</v>
      </c>
      <c r="AG26" s="49" t="n">
        <f aca="false">IF(OR(A26="",D26=""),"",A26+D26)</f>
        <v>46311.3333333333</v>
      </c>
      <c r="AH26" s="49" t="n">
        <f aca="false">IF(A26="","",IF(AND(H26&lt;&gt;"",I26&lt;&gt;""),A26+I26+IF(I26&lt;D26,1,0),IF(AND(F26&lt;&gt;"",G26&lt;&gt;""),A26+G26+IF(G26&lt;D26,1,0),IF(AND(D26&lt;&gt;"",E26&lt;&gt;""),A26+E26+IF(E26&lt;D26,1,0),""))))</f>
        <v>46311.7416666667</v>
      </c>
      <c r="AI26" s="47" t="n">
        <f aca="false">IF(AND(E26&lt;&gt;"",F26&lt;&gt;""),MOD(F26-E26,1),0)</f>
        <v>0.0416666666666667</v>
      </c>
      <c r="AJ26" s="48" t="str">
        <f aca="false">IF(A26="","",IF(OR(AND(D26&lt;&gt;"",E26=""),AND(D26="",E26&lt;&gt;""),AND(F26&lt;&gt;"",G26=""),AND(F26="",G26&lt;&gt;""),AND(H26&lt;&gt;"",I26=""),AND(H26="",I26&lt;&gt;"")),"Marcação incompleta; ","")&amp;IF(AND(J26="Útil",M26&gt;0,K26=0,C26="",A26&lt;=DataRef),"Sem marcações no dia; ","")&amp;IF(T26&gt;0,"Intervalo abaixo do mínimo; ","")&amp;IF(U26&gt;0,"Descanso entre jornadas menor que 11h; ","")&amp;IF(AF26&gt;2/24+1/86400,"Mais de 2h extras no dia (CLT, art. 59); ","")&amp;IF(C26="Falta injustificada","Falta injustificada: pode descontar o DSR da semana; ","")&amp;IF(AND(J26="Abonado",K26&gt;0),"Horas marcadas em dia abonado; ",""))</f>
        <v/>
      </c>
    </row>
    <row r="27" customFormat="false" ht="16.5" hidden="false" customHeight="true" outlineLevel="0" collapsed="false">
      <c r="A27" s="31" t="n">
        <f aca="false">IF(ROW()-10&lt;=DAY(FimMes),InicioMes+ROW()-11,"")</f>
        <v>46312</v>
      </c>
      <c r="B27" s="32" t="str">
        <f aca="false">IF(A27="","",CHOOSE(WEEKDAY(A27),"Dom","Seg","Ter","Qua","Qui","Sex","Sáb"))</f>
        <v>Sáb</v>
      </c>
      <c r="C27" s="41"/>
      <c r="D27" s="42"/>
      <c r="E27" s="42"/>
      <c r="F27" s="42"/>
      <c r="G27" s="42"/>
      <c r="H27" s="42"/>
      <c r="I27" s="42"/>
      <c r="J27" s="32" t="str">
        <f aca="false">IF(A27="","",IF(OR(C27="Folga (DSR)",C27="Feriado"),"Descanso",IF(OR(C27="Atestado / abonado",C27="Férias",C27="Compensação (banco)"),"Abonado",IF(C27="Trabalho em escala","Útil",AE27))))</f>
        <v>Útil</v>
      </c>
      <c r="K27" s="43" t="n">
        <f aca="false">IF(A27="",0,ROUND((X27+Y27+Z27-AD27)*1440,0)/1440)</f>
        <v>0</v>
      </c>
      <c r="L27" s="43" t="n">
        <f aca="false">IF(A27="",0,K27+IF(HoraReduzida="Sim",ROUND((AA27+AB27+AC27)/7*1440,0)/1440,0))</f>
        <v>0</v>
      </c>
      <c r="M27" s="43" t="n">
        <f aca="false">IF(OR(A27="",J27&lt;&gt;"Útil"),0,IF(C27="Trabalho em escala",$O$7,INDEX($M$6:$S$6,WEEKDAY(A27))))</f>
        <v>0</v>
      </c>
      <c r="N27" s="44" t="n">
        <f aca="false">MIN(AF27,LimiteHE1)</f>
        <v>0</v>
      </c>
      <c r="O27" s="44" t="n">
        <f aca="false">AF27-N27</f>
        <v>0</v>
      </c>
      <c r="P27" s="44" t="n">
        <f aca="false">IF(J27="Descanso",L27,0)</f>
        <v>0</v>
      </c>
      <c r="Q27" s="43" t="n">
        <f aca="false">IF(A27="",0,ROUND((AA27+AB27+AC27)*IF(HoraReduzida="Sim",8/7,1)*1440,0)/1440)</f>
        <v>0</v>
      </c>
      <c r="R27" s="43" t="n">
        <f aca="false">IF(J27="Descanso",Q27,MIN(Q27,AF27))</f>
        <v>0</v>
      </c>
      <c r="S27" s="45" t="n">
        <f aca="false">IF(OR(J27&lt;&gt;"Útil",AND(K27=0,C27="",A27&gt;DataRef)),0,IF(M27-L27&gt;Tolerancia+1/86400,M27-L27,0))</f>
        <v>0</v>
      </c>
      <c r="T27" s="43" t="n">
        <f aca="false">IF(OR($J$7&lt;&gt;"Sim",A27=""),0,IF(K27&gt;6/24+1/86400,IF(1/24-AI27&gt;TolIntervalo+1/86400,1/24-AI27,0),IF(K27&gt;4/24+1/86400,IF(15/1440-AI27&gt;TolIntervalo+1/86400,15/1440-AI27,0),0)))</f>
        <v>0</v>
      </c>
      <c r="U27" s="43" t="n">
        <f aca="false">IF(OR(AG27="",AH26=""),0,MAX(0,ROUND((11/24-(AG27-AH26))*1440,0)/1440))</f>
        <v>0</v>
      </c>
      <c r="V27" s="46" t="str">
        <f aca="false">IF(AJ27="","",LEFT(AJ27,LEN(AJ27)-2))</f>
        <v/>
      </c>
      <c r="X27" s="47" t="n">
        <f aca="false">IF(OR(D27="",E27=""),0,MOD(E27-D27,1))</f>
        <v>0</v>
      </c>
      <c r="Y27" s="47" t="n">
        <f aca="false">IF(OR(F27="",G27=""),0,MOD(G27-F27,1))</f>
        <v>0</v>
      </c>
      <c r="Z27" s="47" t="n">
        <f aca="false">IF(OR(H27="",I27=""),0,MOD(I27-H27,1))</f>
        <v>0</v>
      </c>
      <c r="AA27" s="47" t="n">
        <f aca="false">IF(X27=0,0,MAX(0,MIN(D27+X27,5/24)-D27)+MAX(0,MIN(D27+X27,29/24)-MAX(D27,22/24)))</f>
        <v>0</v>
      </c>
      <c r="AB27" s="47" t="n">
        <f aca="false">IF(Y27=0,0,MAX(0,MIN(F27+Y27,5/24)-F27)+MAX(0,MIN(F27+Y27,29/24)-MAX(F27,22/24)))</f>
        <v>0</v>
      </c>
      <c r="AC27" s="47" t="n">
        <f aca="false">IF(Z27=0,0,MAX(0,MIN(H27+Z27,5/24)-H27)+MAX(0,MIN(H27+Z27,29/24)-MAX(H27,22/24)))</f>
        <v>0</v>
      </c>
      <c r="AD27" s="47" t="n">
        <f aca="false">IF(AND($J$7="Não",F27="",H27="",X27&gt;6/24),$S$7,0)</f>
        <v>0</v>
      </c>
      <c r="AE27" s="48" t="str">
        <f aca="false">IF(A27="","",IF(OR(WEEKDAY(A27)=1,COUNTIF(Feriados,A27)&gt;0),"Descanso","Útil"))</f>
        <v>Útil</v>
      </c>
      <c r="AF27" s="47" t="n">
        <f aca="false">IF(J27&lt;&gt;"Útil",0,IF(L27-M27&gt;Tolerancia+1/86400,L27-M27,0))</f>
        <v>0</v>
      </c>
      <c r="AG27" s="49" t="str">
        <f aca="false">IF(OR(A27="",D27=""),"",A27+D27)</f>
        <v/>
      </c>
      <c r="AH27" s="49" t="str">
        <f aca="false">IF(A27="","",IF(AND(H27&lt;&gt;"",I27&lt;&gt;""),A27+I27+IF(I27&lt;D27,1,0),IF(AND(F27&lt;&gt;"",G27&lt;&gt;""),A27+G27+IF(G27&lt;D27,1,0),IF(AND(D27&lt;&gt;"",E27&lt;&gt;""),A27+E27+IF(E27&lt;D27,1,0),""))))</f>
        <v/>
      </c>
      <c r="AI27" s="47" t="n">
        <f aca="false">IF(AND(E27&lt;&gt;"",F27&lt;&gt;""),MOD(F27-E27,1),0)</f>
        <v>0</v>
      </c>
      <c r="AJ27" s="48" t="str">
        <f aca="false">IF(A27="","",IF(OR(AND(D27&lt;&gt;"",E27=""),AND(D27="",E27&lt;&gt;""),AND(F27&lt;&gt;"",G27=""),AND(F27="",G27&lt;&gt;""),AND(H27&lt;&gt;"",I27=""),AND(H27="",I27&lt;&gt;"")),"Marcação incompleta; ","")&amp;IF(AND(J27="Útil",M27&gt;0,K27=0,C27="",A27&lt;=DataRef),"Sem marcações no dia; ","")&amp;IF(T27&gt;0,"Intervalo abaixo do mínimo; ","")&amp;IF(U27&gt;0,"Descanso entre jornadas menor que 11h; ","")&amp;IF(AF27&gt;2/24+1/86400,"Mais de 2h extras no dia (CLT, art. 59); ","")&amp;IF(C27="Falta injustificada","Falta injustificada: pode descontar o DSR da semana; ","")&amp;IF(AND(J27="Abonado",K27&gt;0),"Horas marcadas em dia abonado; ",""))</f>
        <v/>
      </c>
    </row>
    <row r="28" customFormat="false" ht="16.5" hidden="false" customHeight="true" outlineLevel="0" collapsed="false">
      <c r="A28" s="31" t="n">
        <f aca="false">IF(ROW()-10&lt;=DAY(FimMes),InicioMes+ROW()-11,"")</f>
        <v>46313</v>
      </c>
      <c r="B28" s="32" t="str">
        <f aca="false">IF(A28="","",CHOOSE(WEEKDAY(A28),"Dom","Seg","Ter","Qua","Qui","Sex","Sáb"))</f>
        <v>Dom</v>
      </c>
      <c r="C28" s="41"/>
      <c r="D28" s="42"/>
      <c r="E28" s="42"/>
      <c r="F28" s="42"/>
      <c r="G28" s="42"/>
      <c r="H28" s="42"/>
      <c r="I28" s="42"/>
      <c r="J28" s="32" t="str">
        <f aca="false">IF(A28="","",IF(OR(C28="Folga (DSR)",C28="Feriado"),"Descanso",IF(OR(C28="Atestado / abonado",C28="Férias",C28="Compensação (banco)"),"Abonado",IF(C28="Trabalho em escala","Útil",AE28))))</f>
        <v>Descanso</v>
      </c>
      <c r="K28" s="43" t="n">
        <f aca="false">IF(A28="",0,ROUND((X28+Y28+Z28-AD28)*1440,0)/1440)</f>
        <v>0</v>
      </c>
      <c r="L28" s="43" t="n">
        <f aca="false">IF(A28="",0,K28+IF(HoraReduzida="Sim",ROUND((AA28+AB28+AC28)/7*1440,0)/1440,0))</f>
        <v>0</v>
      </c>
      <c r="M28" s="43" t="n">
        <f aca="false">IF(OR(A28="",J28&lt;&gt;"Útil"),0,IF(C28="Trabalho em escala",$O$7,INDEX($M$6:$S$6,WEEKDAY(A28))))</f>
        <v>0</v>
      </c>
      <c r="N28" s="44" t="n">
        <f aca="false">MIN(AF28,LimiteHE1)</f>
        <v>0</v>
      </c>
      <c r="O28" s="44" t="n">
        <f aca="false">AF28-N28</f>
        <v>0</v>
      </c>
      <c r="P28" s="44" t="n">
        <f aca="false">IF(J28="Descanso",L28,0)</f>
        <v>0</v>
      </c>
      <c r="Q28" s="43" t="n">
        <f aca="false">IF(A28="",0,ROUND((AA28+AB28+AC28)*IF(HoraReduzida="Sim",8/7,1)*1440,0)/1440)</f>
        <v>0</v>
      </c>
      <c r="R28" s="43" t="n">
        <f aca="false">IF(J28="Descanso",Q28,MIN(Q28,AF28))</f>
        <v>0</v>
      </c>
      <c r="S28" s="45" t="n">
        <f aca="false">IF(OR(J28&lt;&gt;"Útil",AND(K28=0,C28="",A28&gt;DataRef)),0,IF(M28-L28&gt;Tolerancia+1/86400,M28-L28,0))</f>
        <v>0</v>
      </c>
      <c r="T28" s="43" t="n">
        <f aca="false">IF(OR($J$7&lt;&gt;"Sim",A28=""),0,IF(K28&gt;6/24+1/86400,IF(1/24-AI28&gt;TolIntervalo+1/86400,1/24-AI28,0),IF(K28&gt;4/24+1/86400,IF(15/1440-AI28&gt;TolIntervalo+1/86400,15/1440-AI28,0),0)))</f>
        <v>0</v>
      </c>
      <c r="U28" s="43" t="n">
        <f aca="false">IF(OR(AG28="",AH27=""),0,MAX(0,ROUND((11/24-(AG28-AH27))*1440,0)/1440))</f>
        <v>0</v>
      </c>
      <c r="V28" s="46" t="str">
        <f aca="false">IF(AJ28="","",LEFT(AJ28,LEN(AJ28)-2))</f>
        <v/>
      </c>
      <c r="X28" s="47" t="n">
        <f aca="false">IF(OR(D28="",E28=""),0,MOD(E28-D28,1))</f>
        <v>0</v>
      </c>
      <c r="Y28" s="47" t="n">
        <f aca="false">IF(OR(F28="",G28=""),0,MOD(G28-F28,1))</f>
        <v>0</v>
      </c>
      <c r="Z28" s="47" t="n">
        <f aca="false">IF(OR(H28="",I28=""),0,MOD(I28-H28,1))</f>
        <v>0</v>
      </c>
      <c r="AA28" s="47" t="n">
        <f aca="false">IF(X28=0,0,MAX(0,MIN(D28+X28,5/24)-D28)+MAX(0,MIN(D28+X28,29/24)-MAX(D28,22/24)))</f>
        <v>0</v>
      </c>
      <c r="AB28" s="47" t="n">
        <f aca="false">IF(Y28=0,0,MAX(0,MIN(F28+Y28,5/24)-F28)+MAX(0,MIN(F28+Y28,29/24)-MAX(F28,22/24)))</f>
        <v>0</v>
      </c>
      <c r="AC28" s="47" t="n">
        <f aca="false">IF(Z28=0,0,MAX(0,MIN(H28+Z28,5/24)-H28)+MAX(0,MIN(H28+Z28,29/24)-MAX(H28,22/24)))</f>
        <v>0</v>
      </c>
      <c r="AD28" s="47" t="n">
        <f aca="false">IF(AND($J$7="Não",F28="",H28="",X28&gt;6/24),$S$7,0)</f>
        <v>0</v>
      </c>
      <c r="AE28" s="48" t="str">
        <f aca="false">IF(A28="","",IF(OR(WEEKDAY(A28)=1,COUNTIF(Feriados,A28)&gt;0),"Descanso","Útil"))</f>
        <v>Descanso</v>
      </c>
      <c r="AF28" s="47" t="n">
        <f aca="false">IF(J28&lt;&gt;"Útil",0,IF(L28-M28&gt;Tolerancia+1/86400,L28-M28,0))</f>
        <v>0</v>
      </c>
      <c r="AG28" s="49" t="str">
        <f aca="false">IF(OR(A28="",D28=""),"",A28+D28)</f>
        <v/>
      </c>
      <c r="AH28" s="49" t="str">
        <f aca="false">IF(A28="","",IF(AND(H28&lt;&gt;"",I28&lt;&gt;""),A28+I28+IF(I28&lt;D28,1,0),IF(AND(F28&lt;&gt;"",G28&lt;&gt;""),A28+G28+IF(G28&lt;D28,1,0),IF(AND(D28&lt;&gt;"",E28&lt;&gt;""),A28+E28+IF(E28&lt;D28,1,0),""))))</f>
        <v/>
      </c>
      <c r="AI28" s="47" t="n">
        <f aca="false">IF(AND(E28&lt;&gt;"",F28&lt;&gt;""),MOD(F28-E28,1),0)</f>
        <v>0</v>
      </c>
      <c r="AJ28" s="48" t="str">
        <f aca="false">IF(A28="","",IF(OR(AND(D28&lt;&gt;"",E28=""),AND(D28="",E28&lt;&gt;""),AND(F28&lt;&gt;"",G28=""),AND(F28="",G28&lt;&gt;""),AND(H28&lt;&gt;"",I28=""),AND(H28="",I28&lt;&gt;"")),"Marcação incompleta; ","")&amp;IF(AND(J28="Útil",M28&gt;0,K28=0,C28="",A28&lt;=DataRef),"Sem marcações no dia; ","")&amp;IF(T28&gt;0,"Intervalo abaixo do mínimo; ","")&amp;IF(U28&gt;0,"Descanso entre jornadas menor que 11h; ","")&amp;IF(AF28&gt;2/24+1/86400,"Mais de 2h extras no dia (CLT, art. 59); ","")&amp;IF(C28="Falta injustificada","Falta injustificada: pode descontar o DSR da semana; ","")&amp;IF(AND(J28="Abonado",K28&gt;0),"Horas marcadas em dia abonado; ",""))</f>
        <v/>
      </c>
    </row>
    <row r="29" customFormat="false" ht="16.5" hidden="false" customHeight="true" outlineLevel="0" collapsed="false">
      <c r="A29" s="31" t="n">
        <f aca="false">IF(ROW()-10&lt;=DAY(FimMes),InicioMes+ROW()-11,"")</f>
        <v>46314</v>
      </c>
      <c r="B29" s="32" t="str">
        <f aca="false">IF(A29="","",CHOOSE(WEEKDAY(A29),"Dom","Seg","Ter","Qua","Qui","Sex","Sáb"))</f>
        <v>Seg</v>
      </c>
      <c r="C29" s="41"/>
      <c r="D29" s="42" t="n">
        <v>0.333333333333333</v>
      </c>
      <c r="E29" s="42" t="n">
        <v>0.5</v>
      </c>
      <c r="F29" s="42" t="n">
        <v>0.541666666666667</v>
      </c>
      <c r="G29" s="42" t="n">
        <v>0.770833333333333</v>
      </c>
      <c r="H29" s="42"/>
      <c r="I29" s="42"/>
      <c r="J29" s="32" t="str">
        <f aca="false">IF(A29="","",IF(OR(C29="Folga (DSR)",C29="Feriado"),"Descanso",IF(OR(C29="Atestado / abonado",C29="Férias",C29="Compensação (banco)"),"Abonado",IF(C29="Trabalho em escala","Útil",AE29))))</f>
        <v>Útil</v>
      </c>
      <c r="K29" s="43" t="n">
        <f aca="false">IF(A29="",0,ROUND((X29+Y29+Z29-AD29)*1440,0)/1440)</f>
        <v>0.395833333333333</v>
      </c>
      <c r="L29" s="43" t="n">
        <f aca="false">IF(A29="",0,K29+IF(HoraReduzida="Sim",ROUND((AA29+AB29+AC29)/7*1440,0)/1440,0))</f>
        <v>0.395833333333333</v>
      </c>
      <c r="M29" s="43" t="n">
        <f aca="false">IF(OR(A29="",J29&lt;&gt;"Útil"),0,IF(C29="Trabalho em escala",$O$7,INDEX($M$6:$S$6,WEEKDAY(A29))))</f>
        <v>0.366666666666667</v>
      </c>
      <c r="N29" s="44" t="n">
        <f aca="false">MIN(AF29,LimiteHE1)</f>
        <v>0.0291666666666667</v>
      </c>
      <c r="O29" s="44" t="n">
        <f aca="false">AF29-N29</f>
        <v>0</v>
      </c>
      <c r="P29" s="44" t="n">
        <f aca="false">IF(J29="Descanso",L29,0)</f>
        <v>0</v>
      </c>
      <c r="Q29" s="43" t="n">
        <f aca="false">IF(A29="",0,ROUND((AA29+AB29+AC29)*IF(HoraReduzida="Sim",8/7,1)*1440,0)/1440)</f>
        <v>0</v>
      </c>
      <c r="R29" s="43" t="n">
        <f aca="false">IF(J29="Descanso",Q29,MIN(Q29,AF29))</f>
        <v>0</v>
      </c>
      <c r="S29" s="45" t="n">
        <f aca="false">IF(OR(J29&lt;&gt;"Útil",AND(K29=0,C29="",A29&gt;DataRef)),0,IF(M29-L29&gt;Tolerancia+1/86400,M29-L29,0))</f>
        <v>0</v>
      </c>
      <c r="T29" s="43" t="n">
        <f aca="false">IF(OR($J$7&lt;&gt;"Sim",A29=""),0,IF(K29&gt;6/24+1/86400,IF(1/24-AI29&gt;TolIntervalo+1/86400,1/24-AI29,0),IF(K29&gt;4/24+1/86400,IF(15/1440-AI29&gt;TolIntervalo+1/86400,15/1440-AI29,0),0)))</f>
        <v>0</v>
      </c>
      <c r="U29" s="43" t="n">
        <f aca="false">IF(OR(AG29="",AH28=""),0,MAX(0,ROUND((11/24-(AG29-AH28))*1440,0)/1440))</f>
        <v>0</v>
      </c>
      <c r="V29" s="46" t="str">
        <f aca="false">IF(AJ29="","",LEFT(AJ29,LEN(AJ29)-2))</f>
        <v/>
      </c>
      <c r="X29" s="47" t="n">
        <f aca="false">IF(OR(D29="",E29=""),0,MOD(E29-D29,1))</f>
        <v>0.166666666666667</v>
      </c>
      <c r="Y29" s="47" t="n">
        <f aca="false">IF(OR(F29="",G29=""),0,MOD(G29-F29,1))</f>
        <v>0.229166666666667</v>
      </c>
      <c r="Z29" s="47" t="n">
        <f aca="false">IF(OR(H29="",I29=""),0,MOD(I29-H29,1))</f>
        <v>0</v>
      </c>
      <c r="AA29" s="47" t="n">
        <f aca="false">IF(X29=0,0,MAX(0,MIN(D29+X29,5/24)-D29)+MAX(0,MIN(D29+X29,29/24)-MAX(D29,22/24)))</f>
        <v>0</v>
      </c>
      <c r="AB29" s="47" t="n">
        <f aca="false">IF(Y29=0,0,MAX(0,MIN(F29+Y29,5/24)-F29)+MAX(0,MIN(F29+Y29,29/24)-MAX(F29,22/24)))</f>
        <v>0</v>
      </c>
      <c r="AC29" s="47" t="n">
        <f aca="false">IF(Z29=0,0,MAX(0,MIN(H29+Z29,5/24)-H29)+MAX(0,MIN(H29+Z29,29/24)-MAX(H29,22/24)))</f>
        <v>0</v>
      </c>
      <c r="AD29" s="47" t="n">
        <f aca="false">IF(AND($J$7="Não",F29="",H29="",X29&gt;6/24),$S$7,0)</f>
        <v>0</v>
      </c>
      <c r="AE29" s="48" t="str">
        <f aca="false">IF(A29="","",IF(OR(WEEKDAY(A29)=1,COUNTIF(Feriados,A29)&gt;0),"Descanso","Útil"))</f>
        <v>Útil</v>
      </c>
      <c r="AF29" s="47" t="n">
        <f aca="false">IF(J29&lt;&gt;"Útil",0,IF(L29-M29&gt;Tolerancia+1/86400,L29-M29,0))</f>
        <v>0.0291666666666667</v>
      </c>
      <c r="AG29" s="49" t="n">
        <f aca="false">IF(OR(A29="",D29=""),"",A29+D29)</f>
        <v>46314.3333333333</v>
      </c>
      <c r="AH29" s="49" t="n">
        <f aca="false">IF(A29="","",IF(AND(H29&lt;&gt;"",I29&lt;&gt;""),A29+I29+IF(I29&lt;D29,1,0),IF(AND(F29&lt;&gt;"",G29&lt;&gt;""),A29+G29+IF(G29&lt;D29,1,0),IF(AND(D29&lt;&gt;"",E29&lt;&gt;""),A29+E29+IF(E29&lt;D29,1,0),""))))</f>
        <v>46314.7708333333</v>
      </c>
      <c r="AI29" s="47" t="n">
        <f aca="false">IF(AND(E29&lt;&gt;"",F29&lt;&gt;""),MOD(F29-E29,1),0)</f>
        <v>0.0416666666666667</v>
      </c>
      <c r="AJ29" s="48" t="str">
        <f aca="false">IF(A29="","",IF(OR(AND(D29&lt;&gt;"",E29=""),AND(D29="",E29&lt;&gt;""),AND(F29&lt;&gt;"",G29=""),AND(F29="",G29&lt;&gt;""),AND(H29&lt;&gt;"",I29=""),AND(H29="",I29&lt;&gt;"")),"Marcação incompleta; ","")&amp;IF(AND(J29="Útil",M29&gt;0,K29=0,C29="",A29&lt;=DataRef),"Sem marcações no dia; ","")&amp;IF(T29&gt;0,"Intervalo abaixo do mínimo; ","")&amp;IF(U29&gt;0,"Descanso entre jornadas menor que 11h; ","")&amp;IF(AF29&gt;2/24+1/86400,"Mais de 2h extras no dia (CLT, art. 59); ","")&amp;IF(C29="Falta injustificada","Falta injustificada: pode descontar o DSR da semana; ","")&amp;IF(AND(J29="Abonado",K29&gt;0),"Horas marcadas em dia abonado; ",""))</f>
        <v/>
      </c>
    </row>
    <row r="30" customFormat="false" ht="16.5" hidden="false" customHeight="true" outlineLevel="0" collapsed="false">
      <c r="A30" s="31" t="n">
        <f aca="false">IF(ROW()-10&lt;=DAY(FimMes),InicioMes+ROW()-11,"")</f>
        <v>46315</v>
      </c>
      <c r="B30" s="32" t="str">
        <f aca="false">IF(A30="","",CHOOSE(WEEKDAY(A30),"Dom","Seg","Ter","Qua","Qui","Sex","Sáb"))</f>
        <v>Ter</v>
      </c>
      <c r="C30" s="41"/>
      <c r="D30" s="42" t="n">
        <v>0.333333333333333</v>
      </c>
      <c r="E30" s="42" t="n">
        <v>0.5</v>
      </c>
      <c r="F30" s="42" t="n">
        <v>0.541666666666667</v>
      </c>
      <c r="G30" s="42" t="n">
        <v>0.741666666666667</v>
      </c>
      <c r="H30" s="42"/>
      <c r="I30" s="42"/>
      <c r="J30" s="32" t="str">
        <f aca="false">IF(A30="","",IF(OR(C30="Folga (DSR)",C30="Feriado"),"Descanso",IF(OR(C30="Atestado / abonado",C30="Férias",C30="Compensação (banco)"),"Abonado",IF(C30="Trabalho em escala","Útil",AE30))))</f>
        <v>Útil</v>
      </c>
      <c r="K30" s="43" t="n">
        <f aca="false">IF(A30="",0,ROUND((X30+Y30+Z30-AD30)*1440,0)/1440)</f>
        <v>0.366666666666667</v>
      </c>
      <c r="L30" s="43" t="n">
        <f aca="false">IF(A30="",0,K30+IF(HoraReduzida="Sim",ROUND((AA30+AB30+AC30)/7*1440,0)/1440,0))</f>
        <v>0.366666666666667</v>
      </c>
      <c r="M30" s="43" t="n">
        <f aca="false">IF(OR(A30="",J30&lt;&gt;"Útil"),0,IF(C30="Trabalho em escala",$O$7,INDEX($M$6:$S$6,WEEKDAY(A30))))</f>
        <v>0.366666666666667</v>
      </c>
      <c r="N30" s="44" t="n">
        <f aca="false">MIN(AF30,LimiteHE1)</f>
        <v>0</v>
      </c>
      <c r="O30" s="44" t="n">
        <f aca="false">AF30-N30</f>
        <v>0</v>
      </c>
      <c r="P30" s="44" t="n">
        <f aca="false">IF(J30="Descanso",L30,0)</f>
        <v>0</v>
      </c>
      <c r="Q30" s="43" t="n">
        <f aca="false">IF(A30="",0,ROUND((AA30+AB30+AC30)*IF(HoraReduzida="Sim",8/7,1)*1440,0)/1440)</f>
        <v>0</v>
      </c>
      <c r="R30" s="43" t="n">
        <f aca="false">IF(J30="Descanso",Q30,MIN(Q30,AF30))</f>
        <v>0</v>
      </c>
      <c r="S30" s="45" t="n">
        <f aca="false">IF(OR(J30&lt;&gt;"Útil",AND(K30=0,C30="",A30&gt;DataRef)),0,IF(M30-L30&gt;Tolerancia+1/86400,M30-L30,0))</f>
        <v>0</v>
      </c>
      <c r="T30" s="43" t="n">
        <f aca="false">IF(OR($J$7&lt;&gt;"Sim",A30=""),0,IF(K30&gt;6/24+1/86400,IF(1/24-AI30&gt;TolIntervalo+1/86400,1/24-AI30,0),IF(K30&gt;4/24+1/86400,IF(15/1440-AI30&gt;TolIntervalo+1/86400,15/1440-AI30,0),0)))</f>
        <v>0</v>
      </c>
      <c r="U30" s="43" t="n">
        <f aca="false">IF(OR(AG30="",AH29=""),0,MAX(0,ROUND((11/24-(AG30-AH29))*1440,0)/1440))</f>
        <v>0</v>
      </c>
      <c r="V30" s="46" t="str">
        <f aca="false">IF(AJ30="","",LEFT(AJ30,LEN(AJ30)-2))</f>
        <v/>
      </c>
      <c r="X30" s="47" t="n">
        <f aca="false">IF(OR(D30="",E30=""),0,MOD(E30-D30,1))</f>
        <v>0.166666666666667</v>
      </c>
      <c r="Y30" s="47" t="n">
        <f aca="false">IF(OR(F30="",G30=""),0,MOD(G30-F30,1))</f>
        <v>0.2</v>
      </c>
      <c r="Z30" s="47" t="n">
        <f aca="false">IF(OR(H30="",I30=""),0,MOD(I30-H30,1))</f>
        <v>0</v>
      </c>
      <c r="AA30" s="47" t="n">
        <f aca="false">IF(X30=0,0,MAX(0,MIN(D30+X30,5/24)-D30)+MAX(0,MIN(D30+X30,29/24)-MAX(D30,22/24)))</f>
        <v>0</v>
      </c>
      <c r="AB30" s="47" t="n">
        <f aca="false">IF(Y30=0,0,MAX(0,MIN(F30+Y30,5/24)-F30)+MAX(0,MIN(F30+Y30,29/24)-MAX(F30,22/24)))</f>
        <v>0</v>
      </c>
      <c r="AC30" s="47" t="n">
        <f aca="false">IF(Z30=0,0,MAX(0,MIN(H30+Z30,5/24)-H30)+MAX(0,MIN(H30+Z30,29/24)-MAX(H30,22/24)))</f>
        <v>0</v>
      </c>
      <c r="AD30" s="47" t="n">
        <f aca="false">IF(AND($J$7="Não",F30="",H30="",X30&gt;6/24),$S$7,0)</f>
        <v>0</v>
      </c>
      <c r="AE30" s="48" t="str">
        <f aca="false">IF(A30="","",IF(OR(WEEKDAY(A30)=1,COUNTIF(Feriados,A30)&gt;0),"Descanso","Útil"))</f>
        <v>Útil</v>
      </c>
      <c r="AF30" s="47" t="n">
        <f aca="false">IF(J30&lt;&gt;"Útil",0,IF(L30-M30&gt;Tolerancia+1/86400,L30-M30,0))</f>
        <v>0</v>
      </c>
      <c r="AG30" s="49" t="n">
        <f aca="false">IF(OR(A30="",D30=""),"",A30+D30)</f>
        <v>46315.3333333333</v>
      </c>
      <c r="AH30" s="49" t="n">
        <f aca="false">IF(A30="","",IF(AND(H30&lt;&gt;"",I30&lt;&gt;""),A30+I30+IF(I30&lt;D30,1,0),IF(AND(F30&lt;&gt;"",G30&lt;&gt;""),A30+G30+IF(G30&lt;D30,1,0),IF(AND(D30&lt;&gt;"",E30&lt;&gt;""),A30+E30+IF(E30&lt;D30,1,0),""))))</f>
        <v>46315.7416666667</v>
      </c>
      <c r="AI30" s="47" t="n">
        <f aca="false">IF(AND(E30&lt;&gt;"",F30&lt;&gt;""),MOD(F30-E30,1),0)</f>
        <v>0.0416666666666667</v>
      </c>
      <c r="AJ30" s="48" t="str">
        <f aca="false">IF(A30="","",IF(OR(AND(D30&lt;&gt;"",E30=""),AND(D30="",E30&lt;&gt;""),AND(F30&lt;&gt;"",G30=""),AND(F30="",G30&lt;&gt;""),AND(H30&lt;&gt;"",I30=""),AND(H30="",I30&lt;&gt;"")),"Marcação incompleta; ","")&amp;IF(AND(J30="Útil",M30&gt;0,K30=0,C30="",A30&lt;=DataRef),"Sem marcações no dia; ","")&amp;IF(T30&gt;0,"Intervalo abaixo do mínimo; ","")&amp;IF(U30&gt;0,"Descanso entre jornadas menor que 11h; ","")&amp;IF(AF30&gt;2/24+1/86400,"Mais de 2h extras no dia (CLT, art. 59); ","")&amp;IF(C30="Falta injustificada","Falta injustificada: pode descontar o DSR da semana; ","")&amp;IF(AND(J30="Abonado",K30&gt;0),"Horas marcadas em dia abonado; ",""))</f>
        <v/>
      </c>
    </row>
    <row r="31" customFormat="false" ht="16.5" hidden="false" customHeight="true" outlineLevel="0" collapsed="false">
      <c r="A31" s="31" t="n">
        <f aca="false">IF(ROW()-10&lt;=DAY(FimMes),InicioMes+ROW()-11,"")</f>
        <v>46316</v>
      </c>
      <c r="B31" s="32" t="str">
        <f aca="false">IF(A31="","",CHOOSE(WEEKDAY(A31),"Dom","Seg","Ter","Qua","Qui","Sex","Sáb"))</f>
        <v>Qua</v>
      </c>
      <c r="C31" s="41"/>
      <c r="D31" s="42" t="n">
        <v>0.333333333333333</v>
      </c>
      <c r="E31" s="42" t="n">
        <v>0.5</v>
      </c>
      <c r="F31" s="42" t="n">
        <v>0.541666666666667</v>
      </c>
      <c r="G31" s="42" t="n">
        <v>0.741666666666667</v>
      </c>
      <c r="H31" s="42"/>
      <c r="I31" s="42"/>
      <c r="J31" s="32" t="str">
        <f aca="false">IF(A31="","",IF(OR(C31="Folga (DSR)",C31="Feriado"),"Descanso",IF(OR(C31="Atestado / abonado",C31="Férias",C31="Compensação (banco)"),"Abonado",IF(C31="Trabalho em escala","Útil",AE31))))</f>
        <v>Útil</v>
      </c>
      <c r="K31" s="43" t="n">
        <f aca="false">IF(A31="",0,ROUND((X31+Y31+Z31-AD31)*1440,0)/1440)</f>
        <v>0.366666666666667</v>
      </c>
      <c r="L31" s="43" t="n">
        <f aca="false">IF(A31="",0,K31+IF(HoraReduzida="Sim",ROUND((AA31+AB31+AC31)/7*1440,0)/1440,0))</f>
        <v>0.366666666666667</v>
      </c>
      <c r="M31" s="43" t="n">
        <f aca="false">IF(OR(A31="",J31&lt;&gt;"Útil"),0,IF(C31="Trabalho em escala",$O$7,INDEX($M$6:$S$6,WEEKDAY(A31))))</f>
        <v>0.366666666666667</v>
      </c>
      <c r="N31" s="44" t="n">
        <f aca="false">MIN(AF31,LimiteHE1)</f>
        <v>0</v>
      </c>
      <c r="O31" s="44" t="n">
        <f aca="false">AF31-N31</f>
        <v>0</v>
      </c>
      <c r="P31" s="44" t="n">
        <f aca="false">IF(J31="Descanso",L31,0)</f>
        <v>0</v>
      </c>
      <c r="Q31" s="43" t="n">
        <f aca="false">IF(A31="",0,ROUND((AA31+AB31+AC31)*IF(HoraReduzida="Sim",8/7,1)*1440,0)/1440)</f>
        <v>0</v>
      </c>
      <c r="R31" s="43" t="n">
        <f aca="false">IF(J31="Descanso",Q31,MIN(Q31,AF31))</f>
        <v>0</v>
      </c>
      <c r="S31" s="45" t="n">
        <f aca="false">IF(OR(J31&lt;&gt;"Útil",AND(K31=0,C31="",A31&gt;DataRef)),0,IF(M31-L31&gt;Tolerancia+1/86400,M31-L31,0))</f>
        <v>0</v>
      </c>
      <c r="T31" s="43" t="n">
        <f aca="false">IF(OR($J$7&lt;&gt;"Sim",A31=""),0,IF(K31&gt;6/24+1/86400,IF(1/24-AI31&gt;TolIntervalo+1/86400,1/24-AI31,0),IF(K31&gt;4/24+1/86400,IF(15/1440-AI31&gt;TolIntervalo+1/86400,15/1440-AI31,0),0)))</f>
        <v>0</v>
      </c>
      <c r="U31" s="43" t="n">
        <f aca="false">IF(OR(AG31="",AH30=""),0,MAX(0,ROUND((11/24-(AG31-AH30))*1440,0)/1440))</f>
        <v>0</v>
      </c>
      <c r="V31" s="46" t="str">
        <f aca="false">IF(AJ31="","",LEFT(AJ31,LEN(AJ31)-2))</f>
        <v/>
      </c>
      <c r="X31" s="47" t="n">
        <f aca="false">IF(OR(D31="",E31=""),0,MOD(E31-D31,1))</f>
        <v>0.166666666666667</v>
      </c>
      <c r="Y31" s="47" t="n">
        <f aca="false">IF(OR(F31="",G31=""),0,MOD(G31-F31,1))</f>
        <v>0.2</v>
      </c>
      <c r="Z31" s="47" t="n">
        <f aca="false">IF(OR(H31="",I31=""),0,MOD(I31-H31,1))</f>
        <v>0</v>
      </c>
      <c r="AA31" s="47" t="n">
        <f aca="false">IF(X31=0,0,MAX(0,MIN(D31+X31,5/24)-D31)+MAX(0,MIN(D31+X31,29/24)-MAX(D31,22/24)))</f>
        <v>0</v>
      </c>
      <c r="AB31" s="47" t="n">
        <f aca="false">IF(Y31=0,0,MAX(0,MIN(F31+Y31,5/24)-F31)+MAX(0,MIN(F31+Y31,29/24)-MAX(F31,22/24)))</f>
        <v>0</v>
      </c>
      <c r="AC31" s="47" t="n">
        <f aca="false">IF(Z31=0,0,MAX(0,MIN(H31+Z31,5/24)-H31)+MAX(0,MIN(H31+Z31,29/24)-MAX(H31,22/24)))</f>
        <v>0</v>
      </c>
      <c r="AD31" s="47" t="n">
        <f aca="false">IF(AND($J$7="Não",F31="",H31="",X31&gt;6/24),$S$7,0)</f>
        <v>0</v>
      </c>
      <c r="AE31" s="48" t="str">
        <f aca="false">IF(A31="","",IF(OR(WEEKDAY(A31)=1,COUNTIF(Feriados,A31)&gt;0),"Descanso","Útil"))</f>
        <v>Útil</v>
      </c>
      <c r="AF31" s="47" t="n">
        <f aca="false">IF(J31&lt;&gt;"Útil",0,IF(L31-M31&gt;Tolerancia+1/86400,L31-M31,0))</f>
        <v>0</v>
      </c>
      <c r="AG31" s="49" t="n">
        <f aca="false">IF(OR(A31="",D31=""),"",A31+D31)</f>
        <v>46316.3333333333</v>
      </c>
      <c r="AH31" s="49" t="n">
        <f aca="false">IF(A31="","",IF(AND(H31&lt;&gt;"",I31&lt;&gt;""),A31+I31+IF(I31&lt;D31,1,0),IF(AND(F31&lt;&gt;"",G31&lt;&gt;""),A31+G31+IF(G31&lt;D31,1,0),IF(AND(D31&lt;&gt;"",E31&lt;&gt;""),A31+E31+IF(E31&lt;D31,1,0),""))))</f>
        <v>46316.7416666667</v>
      </c>
      <c r="AI31" s="47" t="n">
        <f aca="false">IF(AND(E31&lt;&gt;"",F31&lt;&gt;""),MOD(F31-E31,1),0)</f>
        <v>0.0416666666666667</v>
      </c>
      <c r="AJ31" s="48" t="str">
        <f aca="false">IF(A31="","",IF(OR(AND(D31&lt;&gt;"",E31=""),AND(D31="",E31&lt;&gt;""),AND(F31&lt;&gt;"",G31=""),AND(F31="",G31&lt;&gt;""),AND(H31&lt;&gt;"",I31=""),AND(H31="",I31&lt;&gt;"")),"Marcação incompleta; ","")&amp;IF(AND(J31="Útil",M31&gt;0,K31=0,C31="",A31&lt;=DataRef),"Sem marcações no dia; ","")&amp;IF(T31&gt;0,"Intervalo abaixo do mínimo; ","")&amp;IF(U31&gt;0,"Descanso entre jornadas menor que 11h; ","")&amp;IF(AF31&gt;2/24+1/86400,"Mais de 2h extras no dia (CLT, art. 59); ","")&amp;IF(C31="Falta injustificada","Falta injustificada: pode descontar o DSR da semana; ","")&amp;IF(AND(J31="Abonado",K31&gt;0),"Horas marcadas em dia abonado; ",""))</f>
        <v/>
      </c>
    </row>
    <row r="32" customFormat="false" ht="16.5" hidden="false" customHeight="true" outlineLevel="0" collapsed="false">
      <c r="A32" s="31" t="n">
        <f aca="false">IF(ROW()-10&lt;=DAY(FimMes),InicioMes+ROW()-11,"")</f>
        <v>46317</v>
      </c>
      <c r="B32" s="32" t="str">
        <f aca="false">IF(A32="","",CHOOSE(WEEKDAY(A32),"Dom","Seg","Ter","Qua","Qui","Sex","Sáb"))</f>
        <v>Qui</v>
      </c>
      <c r="C32" s="41"/>
      <c r="D32" s="42" t="n">
        <v>0.333333333333333</v>
      </c>
      <c r="E32" s="42" t="n">
        <v>0.5</v>
      </c>
      <c r="F32" s="42" t="n">
        <v>0.541666666666667</v>
      </c>
      <c r="G32" s="42" t="n">
        <v>0.741666666666667</v>
      </c>
      <c r="H32" s="42"/>
      <c r="I32" s="42"/>
      <c r="J32" s="32" t="str">
        <f aca="false">IF(A32="","",IF(OR(C32="Folga (DSR)",C32="Feriado"),"Descanso",IF(OR(C32="Atestado / abonado",C32="Férias",C32="Compensação (banco)"),"Abonado",IF(C32="Trabalho em escala","Útil",AE32))))</f>
        <v>Útil</v>
      </c>
      <c r="K32" s="43" t="n">
        <f aca="false">IF(A32="",0,ROUND((X32+Y32+Z32-AD32)*1440,0)/1440)</f>
        <v>0.366666666666667</v>
      </c>
      <c r="L32" s="43" t="n">
        <f aca="false">IF(A32="",0,K32+IF(HoraReduzida="Sim",ROUND((AA32+AB32+AC32)/7*1440,0)/1440,0))</f>
        <v>0.366666666666667</v>
      </c>
      <c r="M32" s="43" t="n">
        <f aca="false">IF(OR(A32="",J32&lt;&gt;"Útil"),0,IF(C32="Trabalho em escala",$O$7,INDEX($M$6:$S$6,WEEKDAY(A32))))</f>
        <v>0.366666666666667</v>
      </c>
      <c r="N32" s="44" t="n">
        <f aca="false">MIN(AF32,LimiteHE1)</f>
        <v>0</v>
      </c>
      <c r="O32" s="44" t="n">
        <f aca="false">AF32-N32</f>
        <v>0</v>
      </c>
      <c r="P32" s="44" t="n">
        <f aca="false">IF(J32="Descanso",L32,0)</f>
        <v>0</v>
      </c>
      <c r="Q32" s="43" t="n">
        <f aca="false">IF(A32="",0,ROUND((AA32+AB32+AC32)*IF(HoraReduzida="Sim",8/7,1)*1440,0)/1440)</f>
        <v>0</v>
      </c>
      <c r="R32" s="43" t="n">
        <f aca="false">IF(J32="Descanso",Q32,MIN(Q32,AF32))</f>
        <v>0</v>
      </c>
      <c r="S32" s="45" t="n">
        <f aca="false">IF(OR(J32&lt;&gt;"Útil",AND(K32=0,C32="",A32&gt;DataRef)),0,IF(M32-L32&gt;Tolerancia+1/86400,M32-L32,0))</f>
        <v>0</v>
      </c>
      <c r="T32" s="43" t="n">
        <f aca="false">IF(OR($J$7&lt;&gt;"Sim",A32=""),0,IF(K32&gt;6/24+1/86400,IF(1/24-AI32&gt;TolIntervalo+1/86400,1/24-AI32,0),IF(K32&gt;4/24+1/86400,IF(15/1440-AI32&gt;TolIntervalo+1/86400,15/1440-AI32,0),0)))</f>
        <v>0</v>
      </c>
      <c r="U32" s="43" t="n">
        <f aca="false">IF(OR(AG32="",AH31=""),0,MAX(0,ROUND((11/24-(AG32-AH31))*1440,0)/1440))</f>
        <v>0</v>
      </c>
      <c r="V32" s="46" t="str">
        <f aca="false">IF(AJ32="","",LEFT(AJ32,LEN(AJ32)-2))</f>
        <v/>
      </c>
      <c r="X32" s="47" t="n">
        <f aca="false">IF(OR(D32="",E32=""),0,MOD(E32-D32,1))</f>
        <v>0.166666666666667</v>
      </c>
      <c r="Y32" s="47" t="n">
        <f aca="false">IF(OR(F32="",G32=""),0,MOD(G32-F32,1))</f>
        <v>0.2</v>
      </c>
      <c r="Z32" s="47" t="n">
        <f aca="false">IF(OR(H32="",I32=""),0,MOD(I32-H32,1))</f>
        <v>0</v>
      </c>
      <c r="AA32" s="47" t="n">
        <f aca="false">IF(X32=0,0,MAX(0,MIN(D32+X32,5/24)-D32)+MAX(0,MIN(D32+X32,29/24)-MAX(D32,22/24)))</f>
        <v>0</v>
      </c>
      <c r="AB32" s="47" t="n">
        <f aca="false">IF(Y32=0,0,MAX(0,MIN(F32+Y32,5/24)-F32)+MAX(0,MIN(F32+Y32,29/24)-MAX(F32,22/24)))</f>
        <v>0</v>
      </c>
      <c r="AC32" s="47" t="n">
        <f aca="false">IF(Z32=0,0,MAX(0,MIN(H32+Z32,5/24)-H32)+MAX(0,MIN(H32+Z32,29/24)-MAX(H32,22/24)))</f>
        <v>0</v>
      </c>
      <c r="AD32" s="47" t="n">
        <f aca="false">IF(AND($J$7="Não",F32="",H32="",X32&gt;6/24),$S$7,0)</f>
        <v>0</v>
      </c>
      <c r="AE32" s="48" t="str">
        <f aca="false">IF(A32="","",IF(OR(WEEKDAY(A32)=1,COUNTIF(Feriados,A32)&gt;0),"Descanso","Útil"))</f>
        <v>Útil</v>
      </c>
      <c r="AF32" s="47" t="n">
        <f aca="false">IF(J32&lt;&gt;"Útil",0,IF(L32-M32&gt;Tolerancia+1/86400,L32-M32,0))</f>
        <v>0</v>
      </c>
      <c r="AG32" s="49" t="n">
        <f aca="false">IF(OR(A32="",D32=""),"",A32+D32)</f>
        <v>46317.3333333333</v>
      </c>
      <c r="AH32" s="49" t="n">
        <f aca="false">IF(A32="","",IF(AND(H32&lt;&gt;"",I32&lt;&gt;""),A32+I32+IF(I32&lt;D32,1,0),IF(AND(F32&lt;&gt;"",G32&lt;&gt;""),A32+G32+IF(G32&lt;D32,1,0),IF(AND(D32&lt;&gt;"",E32&lt;&gt;""),A32+E32+IF(E32&lt;D32,1,0),""))))</f>
        <v>46317.7416666667</v>
      </c>
      <c r="AI32" s="47" t="n">
        <f aca="false">IF(AND(E32&lt;&gt;"",F32&lt;&gt;""),MOD(F32-E32,1),0)</f>
        <v>0.0416666666666667</v>
      </c>
      <c r="AJ32" s="48" t="str">
        <f aca="false">IF(A32="","",IF(OR(AND(D32&lt;&gt;"",E32=""),AND(D32="",E32&lt;&gt;""),AND(F32&lt;&gt;"",G32=""),AND(F32="",G32&lt;&gt;""),AND(H32&lt;&gt;"",I32=""),AND(H32="",I32&lt;&gt;"")),"Marcação incompleta; ","")&amp;IF(AND(J32="Útil",M32&gt;0,K32=0,C32="",A32&lt;=DataRef),"Sem marcações no dia; ","")&amp;IF(T32&gt;0,"Intervalo abaixo do mínimo; ","")&amp;IF(U32&gt;0,"Descanso entre jornadas menor que 11h; ","")&amp;IF(AF32&gt;2/24+1/86400,"Mais de 2h extras no dia (CLT, art. 59); ","")&amp;IF(C32="Falta injustificada","Falta injustificada: pode descontar o DSR da semana; ","")&amp;IF(AND(J32="Abonado",K32&gt;0),"Horas marcadas em dia abonado; ",""))</f>
        <v/>
      </c>
    </row>
    <row r="33" customFormat="false" ht="16.5" hidden="false" customHeight="true" outlineLevel="0" collapsed="false">
      <c r="A33" s="31" t="n">
        <f aca="false">IF(ROW()-10&lt;=DAY(FimMes),InicioMes+ROW()-11,"")</f>
        <v>46318</v>
      </c>
      <c r="B33" s="32" t="str">
        <f aca="false">IF(A33="","",CHOOSE(WEEKDAY(A33),"Dom","Seg","Ter","Qua","Qui","Sex","Sáb"))</f>
        <v>Sex</v>
      </c>
      <c r="C33" s="41"/>
      <c r="D33" s="42" t="n">
        <v>0.333333333333333</v>
      </c>
      <c r="E33" s="42" t="n">
        <v>0.5</v>
      </c>
      <c r="F33" s="42" t="n">
        <v>0.541666666666667</v>
      </c>
      <c r="G33" s="42" t="n">
        <v>0.741666666666667</v>
      </c>
      <c r="H33" s="42"/>
      <c r="I33" s="42"/>
      <c r="J33" s="32" t="str">
        <f aca="false">IF(A33="","",IF(OR(C33="Folga (DSR)",C33="Feriado"),"Descanso",IF(OR(C33="Atestado / abonado",C33="Férias",C33="Compensação (banco)"),"Abonado",IF(C33="Trabalho em escala","Útil",AE33))))</f>
        <v>Útil</v>
      </c>
      <c r="K33" s="43" t="n">
        <f aca="false">IF(A33="",0,ROUND((X33+Y33+Z33-AD33)*1440,0)/1440)</f>
        <v>0.366666666666667</v>
      </c>
      <c r="L33" s="43" t="n">
        <f aca="false">IF(A33="",0,K33+IF(HoraReduzida="Sim",ROUND((AA33+AB33+AC33)/7*1440,0)/1440,0))</f>
        <v>0.366666666666667</v>
      </c>
      <c r="M33" s="43" t="n">
        <f aca="false">IF(OR(A33="",J33&lt;&gt;"Útil"),0,IF(C33="Trabalho em escala",$O$7,INDEX($M$6:$S$6,WEEKDAY(A33))))</f>
        <v>0.366666666666667</v>
      </c>
      <c r="N33" s="44" t="n">
        <f aca="false">MIN(AF33,LimiteHE1)</f>
        <v>0</v>
      </c>
      <c r="O33" s="44" t="n">
        <f aca="false">AF33-N33</f>
        <v>0</v>
      </c>
      <c r="P33" s="44" t="n">
        <f aca="false">IF(J33="Descanso",L33,0)</f>
        <v>0</v>
      </c>
      <c r="Q33" s="43" t="n">
        <f aca="false">IF(A33="",0,ROUND((AA33+AB33+AC33)*IF(HoraReduzida="Sim",8/7,1)*1440,0)/1440)</f>
        <v>0</v>
      </c>
      <c r="R33" s="43" t="n">
        <f aca="false">IF(J33="Descanso",Q33,MIN(Q33,AF33))</f>
        <v>0</v>
      </c>
      <c r="S33" s="45" t="n">
        <f aca="false">IF(OR(J33&lt;&gt;"Útil",AND(K33=0,C33="",A33&gt;DataRef)),0,IF(M33-L33&gt;Tolerancia+1/86400,M33-L33,0))</f>
        <v>0</v>
      </c>
      <c r="T33" s="43" t="n">
        <f aca="false">IF(OR($J$7&lt;&gt;"Sim",A33=""),0,IF(K33&gt;6/24+1/86400,IF(1/24-AI33&gt;TolIntervalo+1/86400,1/24-AI33,0),IF(K33&gt;4/24+1/86400,IF(15/1440-AI33&gt;TolIntervalo+1/86400,15/1440-AI33,0),0)))</f>
        <v>0</v>
      </c>
      <c r="U33" s="43" t="n">
        <f aca="false">IF(OR(AG33="",AH32=""),0,MAX(0,ROUND((11/24-(AG33-AH32))*1440,0)/1440))</f>
        <v>0</v>
      </c>
      <c r="V33" s="46" t="str">
        <f aca="false">IF(AJ33="","",LEFT(AJ33,LEN(AJ33)-2))</f>
        <v/>
      </c>
      <c r="X33" s="47" t="n">
        <f aca="false">IF(OR(D33="",E33=""),0,MOD(E33-D33,1))</f>
        <v>0.166666666666667</v>
      </c>
      <c r="Y33" s="47" t="n">
        <f aca="false">IF(OR(F33="",G33=""),0,MOD(G33-F33,1))</f>
        <v>0.2</v>
      </c>
      <c r="Z33" s="47" t="n">
        <f aca="false">IF(OR(H33="",I33=""),0,MOD(I33-H33,1))</f>
        <v>0</v>
      </c>
      <c r="AA33" s="47" t="n">
        <f aca="false">IF(X33=0,0,MAX(0,MIN(D33+X33,5/24)-D33)+MAX(0,MIN(D33+X33,29/24)-MAX(D33,22/24)))</f>
        <v>0</v>
      </c>
      <c r="AB33" s="47" t="n">
        <f aca="false">IF(Y33=0,0,MAX(0,MIN(F33+Y33,5/24)-F33)+MAX(0,MIN(F33+Y33,29/24)-MAX(F33,22/24)))</f>
        <v>0</v>
      </c>
      <c r="AC33" s="47" t="n">
        <f aca="false">IF(Z33=0,0,MAX(0,MIN(H33+Z33,5/24)-H33)+MAX(0,MIN(H33+Z33,29/24)-MAX(H33,22/24)))</f>
        <v>0</v>
      </c>
      <c r="AD33" s="47" t="n">
        <f aca="false">IF(AND($J$7="Não",F33="",H33="",X33&gt;6/24),$S$7,0)</f>
        <v>0</v>
      </c>
      <c r="AE33" s="48" t="str">
        <f aca="false">IF(A33="","",IF(OR(WEEKDAY(A33)=1,COUNTIF(Feriados,A33)&gt;0),"Descanso","Útil"))</f>
        <v>Útil</v>
      </c>
      <c r="AF33" s="47" t="n">
        <f aca="false">IF(J33&lt;&gt;"Útil",0,IF(L33-M33&gt;Tolerancia+1/86400,L33-M33,0))</f>
        <v>0</v>
      </c>
      <c r="AG33" s="49" t="n">
        <f aca="false">IF(OR(A33="",D33=""),"",A33+D33)</f>
        <v>46318.3333333333</v>
      </c>
      <c r="AH33" s="49" t="n">
        <f aca="false">IF(A33="","",IF(AND(H33&lt;&gt;"",I33&lt;&gt;""),A33+I33+IF(I33&lt;D33,1,0),IF(AND(F33&lt;&gt;"",G33&lt;&gt;""),A33+G33+IF(G33&lt;D33,1,0),IF(AND(D33&lt;&gt;"",E33&lt;&gt;""),A33+E33+IF(E33&lt;D33,1,0),""))))</f>
        <v>46318.7416666667</v>
      </c>
      <c r="AI33" s="47" t="n">
        <f aca="false">IF(AND(E33&lt;&gt;"",F33&lt;&gt;""),MOD(F33-E33,1),0)</f>
        <v>0.0416666666666667</v>
      </c>
      <c r="AJ33" s="48" t="str">
        <f aca="false">IF(A33="","",IF(OR(AND(D33&lt;&gt;"",E33=""),AND(D33="",E33&lt;&gt;""),AND(F33&lt;&gt;"",G33=""),AND(F33="",G33&lt;&gt;""),AND(H33&lt;&gt;"",I33=""),AND(H33="",I33&lt;&gt;"")),"Marcação incompleta; ","")&amp;IF(AND(J33="Útil",M33&gt;0,K33=0,C33="",A33&lt;=DataRef),"Sem marcações no dia; ","")&amp;IF(T33&gt;0,"Intervalo abaixo do mínimo; ","")&amp;IF(U33&gt;0,"Descanso entre jornadas menor que 11h; ","")&amp;IF(AF33&gt;2/24+1/86400,"Mais de 2h extras no dia (CLT, art. 59); ","")&amp;IF(C33="Falta injustificada","Falta injustificada: pode descontar o DSR da semana; ","")&amp;IF(AND(J33="Abonado",K33&gt;0),"Horas marcadas em dia abonado; ",""))</f>
        <v/>
      </c>
    </row>
    <row r="34" customFormat="false" ht="16.5" hidden="false" customHeight="true" outlineLevel="0" collapsed="false">
      <c r="A34" s="31" t="n">
        <f aca="false">IF(ROW()-10&lt;=DAY(FimMes),InicioMes+ROW()-11,"")</f>
        <v>46319</v>
      </c>
      <c r="B34" s="32" t="str">
        <f aca="false">IF(A34="","",CHOOSE(WEEKDAY(A34),"Dom","Seg","Ter","Qua","Qui","Sex","Sáb"))</f>
        <v>Sáb</v>
      </c>
      <c r="C34" s="41"/>
      <c r="D34" s="42"/>
      <c r="E34" s="42"/>
      <c r="F34" s="42"/>
      <c r="G34" s="42"/>
      <c r="H34" s="42"/>
      <c r="I34" s="42"/>
      <c r="J34" s="32" t="str">
        <f aca="false">IF(A34="","",IF(OR(C34="Folga (DSR)",C34="Feriado"),"Descanso",IF(OR(C34="Atestado / abonado",C34="Férias",C34="Compensação (banco)"),"Abonado",IF(C34="Trabalho em escala","Útil",AE34))))</f>
        <v>Útil</v>
      </c>
      <c r="K34" s="43" t="n">
        <f aca="false">IF(A34="",0,ROUND((X34+Y34+Z34-AD34)*1440,0)/1440)</f>
        <v>0</v>
      </c>
      <c r="L34" s="43" t="n">
        <f aca="false">IF(A34="",0,K34+IF(HoraReduzida="Sim",ROUND((AA34+AB34+AC34)/7*1440,0)/1440,0))</f>
        <v>0</v>
      </c>
      <c r="M34" s="43" t="n">
        <f aca="false">IF(OR(A34="",J34&lt;&gt;"Útil"),0,IF(C34="Trabalho em escala",$O$7,INDEX($M$6:$S$6,WEEKDAY(A34))))</f>
        <v>0</v>
      </c>
      <c r="N34" s="44" t="n">
        <f aca="false">MIN(AF34,LimiteHE1)</f>
        <v>0</v>
      </c>
      <c r="O34" s="44" t="n">
        <f aca="false">AF34-N34</f>
        <v>0</v>
      </c>
      <c r="P34" s="44" t="n">
        <f aca="false">IF(J34="Descanso",L34,0)</f>
        <v>0</v>
      </c>
      <c r="Q34" s="43" t="n">
        <f aca="false">IF(A34="",0,ROUND((AA34+AB34+AC34)*IF(HoraReduzida="Sim",8/7,1)*1440,0)/1440)</f>
        <v>0</v>
      </c>
      <c r="R34" s="43" t="n">
        <f aca="false">IF(J34="Descanso",Q34,MIN(Q34,AF34))</f>
        <v>0</v>
      </c>
      <c r="S34" s="45" t="n">
        <f aca="false">IF(OR(J34&lt;&gt;"Útil",AND(K34=0,C34="",A34&gt;DataRef)),0,IF(M34-L34&gt;Tolerancia+1/86400,M34-L34,0))</f>
        <v>0</v>
      </c>
      <c r="T34" s="43" t="n">
        <f aca="false">IF(OR($J$7&lt;&gt;"Sim",A34=""),0,IF(K34&gt;6/24+1/86400,IF(1/24-AI34&gt;TolIntervalo+1/86400,1/24-AI34,0),IF(K34&gt;4/24+1/86400,IF(15/1440-AI34&gt;TolIntervalo+1/86400,15/1440-AI34,0),0)))</f>
        <v>0</v>
      </c>
      <c r="U34" s="43" t="n">
        <f aca="false">IF(OR(AG34="",AH33=""),0,MAX(0,ROUND((11/24-(AG34-AH33))*1440,0)/1440))</f>
        <v>0</v>
      </c>
      <c r="V34" s="46" t="str">
        <f aca="false">IF(AJ34="","",LEFT(AJ34,LEN(AJ34)-2))</f>
        <v/>
      </c>
      <c r="X34" s="47" t="n">
        <f aca="false">IF(OR(D34="",E34=""),0,MOD(E34-D34,1))</f>
        <v>0</v>
      </c>
      <c r="Y34" s="47" t="n">
        <f aca="false">IF(OR(F34="",G34=""),0,MOD(G34-F34,1))</f>
        <v>0</v>
      </c>
      <c r="Z34" s="47" t="n">
        <f aca="false">IF(OR(H34="",I34=""),0,MOD(I34-H34,1))</f>
        <v>0</v>
      </c>
      <c r="AA34" s="47" t="n">
        <f aca="false">IF(X34=0,0,MAX(0,MIN(D34+X34,5/24)-D34)+MAX(0,MIN(D34+X34,29/24)-MAX(D34,22/24)))</f>
        <v>0</v>
      </c>
      <c r="AB34" s="47" t="n">
        <f aca="false">IF(Y34=0,0,MAX(0,MIN(F34+Y34,5/24)-F34)+MAX(0,MIN(F34+Y34,29/24)-MAX(F34,22/24)))</f>
        <v>0</v>
      </c>
      <c r="AC34" s="47" t="n">
        <f aca="false">IF(Z34=0,0,MAX(0,MIN(H34+Z34,5/24)-H34)+MAX(0,MIN(H34+Z34,29/24)-MAX(H34,22/24)))</f>
        <v>0</v>
      </c>
      <c r="AD34" s="47" t="n">
        <f aca="false">IF(AND($J$7="Não",F34="",H34="",X34&gt;6/24),$S$7,0)</f>
        <v>0</v>
      </c>
      <c r="AE34" s="48" t="str">
        <f aca="false">IF(A34="","",IF(OR(WEEKDAY(A34)=1,COUNTIF(Feriados,A34)&gt;0),"Descanso","Útil"))</f>
        <v>Útil</v>
      </c>
      <c r="AF34" s="47" t="n">
        <f aca="false">IF(J34&lt;&gt;"Útil",0,IF(L34-M34&gt;Tolerancia+1/86400,L34-M34,0))</f>
        <v>0</v>
      </c>
      <c r="AG34" s="49" t="str">
        <f aca="false">IF(OR(A34="",D34=""),"",A34+D34)</f>
        <v/>
      </c>
      <c r="AH34" s="49" t="str">
        <f aca="false">IF(A34="","",IF(AND(H34&lt;&gt;"",I34&lt;&gt;""),A34+I34+IF(I34&lt;D34,1,0),IF(AND(F34&lt;&gt;"",G34&lt;&gt;""),A34+G34+IF(G34&lt;D34,1,0),IF(AND(D34&lt;&gt;"",E34&lt;&gt;""),A34+E34+IF(E34&lt;D34,1,0),""))))</f>
        <v/>
      </c>
      <c r="AI34" s="47" t="n">
        <f aca="false">IF(AND(E34&lt;&gt;"",F34&lt;&gt;""),MOD(F34-E34,1),0)</f>
        <v>0</v>
      </c>
      <c r="AJ34" s="48" t="str">
        <f aca="false">IF(A34="","",IF(OR(AND(D34&lt;&gt;"",E34=""),AND(D34="",E34&lt;&gt;""),AND(F34&lt;&gt;"",G34=""),AND(F34="",G34&lt;&gt;""),AND(H34&lt;&gt;"",I34=""),AND(H34="",I34&lt;&gt;"")),"Marcação incompleta; ","")&amp;IF(AND(J34="Útil",M34&gt;0,K34=0,C34="",A34&lt;=DataRef),"Sem marcações no dia; ","")&amp;IF(T34&gt;0,"Intervalo abaixo do mínimo; ","")&amp;IF(U34&gt;0,"Descanso entre jornadas menor que 11h; ","")&amp;IF(AF34&gt;2/24+1/86400,"Mais de 2h extras no dia (CLT, art. 59); ","")&amp;IF(C34="Falta injustificada","Falta injustificada: pode descontar o DSR da semana; ","")&amp;IF(AND(J34="Abonado",K34&gt;0),"Horas marcadas em dia abonado; ",""))</f>
        <v/>
      </c>
    </row>
    <row r="35" customFormat="false" ht="16.5" hidden="false" customHeight="true" outlineLevel="0" collapsed="false">
      <c r="A35" s="31" t="n">
        <f aca="false">IF(ROW()-10&lt;=DAY(FimMes),InicioMes+ROW()-11,"")</f>
        <v>46320</v>
      </c>
      <c r="B35" s="32" t="str">
        <f aca="false">IF(A35="","",CHOOSE(WEEKDAY(A35),"Dom","Seg","Ter","Qua","Qui","Sex","Sáb"))</f>
        <v>Dom</v>
      </c>
      <c r="C35" s="41"/>
      <c r="D35" s="42"/>
      <c r="E35" s="42"/>
      <c r="F35" s="42"/>
      <c r="G35" s="42"/>
      <c r="H35" s="42"/>
      <c r="I35" s="42"/>
      <c r="J35" s="32" t="str">
        <f aca="false">IF(A35="","",IF(OR(C35="Folga (DSR)",C35="Feriado"),"Descanso",IF(OR(C35="Atestado / abonado",C35="Férias",C35="Compensação (banco)"),"Abonado",IF(C35="Trabalho em escala","Útil",AE35))))</f>
        <v>Descanso</v>
      </c>
      <c r="K35" s="43" t="n">
        <f aca="false">IF(A35="",0,ROUND((X35+Y35+Z35-AD35)*1440,0)/1440)</f>
        <v>0</v>
      </c>
      <c r="L35" s="43" t="n">
        <f aca="false">IF(A35="",0,K35+IF(HoraReduzida="Sim",ROUND((AA35+AB35+AC35)/7*1440,0)/1440,0))</f>
        <v>0</v>
      </c>
      <c r="M35" s="43" t="n">
        <f aca="false">IF(OR(A35="",J35&lt;&gt;"Útil"),0,IF(C35="Trabalho em escala",$O$7,INDEX($M$6:$S$6,WEEKDAY(A35))))</f>
        <v>0</v>
      </c>
      <c r="N35" s="44" t="n">
        <f aca="false">MIN(AF35,LimiteHE1)</f>
        <v>0</v>
      </c>
      <c r="O35" s="44" t="n">
        <f aca="false">AF35-N35</f>
        <v>0</v>
      </c>
      <c r="P35" s="44" t="n">
        <f aca="false">IF(J35="Descanso",L35,0)</f>
        <v>0</v>
      </c>
      <c r="Q35" s="43" t="n">
        <f aca="false">IF(A35="",0,ROUND((AA35+AB35+AC35)*IF(HoraReduzida="Sim",8/7,1)*1440,0)/1440)</f>
        <v>0</v>
      </c>
      <c r="R35" s="43" t="n">
        <f aca="false">IF(J35="Descanso",Q35,MIN(Q35,AF35))</f>
        <v>0</v>
      </c>
      <c r="S35" s="45" t="n">
        <f aca="false">IF(OR(J35&lt;&gt;"Útil",AND(K35=0,C35="",A35&gt;DataRef)),0,IF(M35-L35&gt;Tolerancia+1/86400,M35-L35,0))</f>
        <v>0</v>
      </c>
      <c r="T35" s="43" t="n">
        <f aca="false">IF(OR($J$7&lt;&gt;"Sim",A35=""),0,IF(K35&gt;6/24+1/86400,IF(1/24-AI35&gt;TolIntervalo+1/86400,1/24-AI35,0),IF(K35&gt;4/24+1/86400,IF(15/1440-AI35&gt;TolIntervalo+1/86400,15/1440-AI35,0),0)))</f>
        <v>0</v>
      </c>
      <c r="U35" s="43" t="n">
        <f aca="false">IF(OR(AG35="",AH34=""),0,MAX(0,ROUND((11/24-(AG35-AH34))*1440,0)/1440))</f>
        <v>0</v>
      </c>
      <c r="V35" s="46" t="str">
        <f aca="false">IF(AJ35="","",LEFT(AJ35,LEN(AJ35)-2))</f>
        <v/>
      </c>
      <c r="X35" s="47" t="n">
        <f aca="false">IF(OR(D35="",E35=""),0,MOD(E35-D35,1))</f>
        <v>0</v>
      </c>
      <c r="Y35" s="47" t="n">
        <f aca="false">IF(OR(F35="",G35=""),0,MOD(G35-F35,1))</f>
        <v>0</v>
      </c>
      <c r="Z35" s="47" t="n">
        <f aca="false">IF(OR(H35="",I35=""),0,MOD(I35-H35,1))</f>
        <v>0</v>
      </c>
      <c r="AA35" s="47" t="n">
        <f aca="false">IF(X35=0,0,MAX(0,MIN(D35+X35,5/24)-D35)+MAX(0,MIN(D35+X35,29/24)-MAX(D35,22/24)))</f>
        <v>0</v>
      </c>
      <c r="AB35" s="47" t="n">
        <f aca="false">IF(Y35=0,0,MAX(0,MIN(F35+Y35,5/24)-F35)+MAX(0,MIN(F35+Y35,29/24)-MAX(F35,22/24)))</f>
        <v>0</v>
      </c>
      <c r="AC35" s="47" t="n">
        <f aca="false">IF(Z35=0,0,MAX(0,MIN(H35+Z35,5/24)-H35)+MAX(0,MIN(H35+Z35,29/24)-MAX(H35,22/24)))</f>
        <v>0</v>
      </c>
      <c r="AD35" s="47" t="n">
        <f aca="false">IF(AND($J$7="Não",F35="",H35="",X35&gt;6/24),$S$7,0)</f>
        <v>0</v>
      </c>
      <c r="AE35" s="48" t="str">
        <f aca="false">IF(A35="","",IF(OR(WEEKDAY(A35)=1,COUNTIF(Feriados,A35)&gt;0),"Descanso","Útil"))</f>
        <v>Descanso</v>
      </c>
      <c r="AF35" s="47" t="n">
        <f aca="false">IF(J35&lt;&gt;"Útil",0,IF(L35-M35&gt;Tolerancia+1/86400,L35-M35,0))</f>
        <v>0</v>
      </c>
      <c r="AG35" s="49" t="str">
        <f aca="false">IF(OR(A35="",D35=""),"",A35+D35)</f>
        <v/>
      </c>
      <c r="AH35" s="49" t="str">
        <f aca="false">IF(A35="","",IF(AND(H35&lt;&gt;"",I35&lt;&gt;""),A35+I35+IF(I35&lt;D35,1,0),IF(AND(F35&lt;&gt;"",G35&lt;&gt;""),A35+G35+IF(G35&lt;D35,1,0),IF(AND(D35&lt;&gt;"",E35&lt;&gt;""),A35+E35+IF(E35&lt;D35,1,0),""))))</f>
        <v/>
      </c>
      <c r="AI35" s="47" t="n">
        <f aca="false">IF(AND(E35&lt;&gt;"",F35&lt;&gt;""),MOD(F35-E35,1),0)</f>
        <v>0</v>
      </c>
      <c r="AJ35" s="48" t="str">
        <f aca="false">IF(A35="","",IF(OR(AND(D35&lt;&gt;"",E35=""),AND(D35="",E35&lt;&gt;""),AND(F35&lt;&gt;"",G35=""),AND(F35="",G35&lt;&gt;""),AND(H35&lt;&gt;"",I35=""),AND(H35="",I35&lt;&gt;"")),"Marcação incompleta; ","")&amp;IF(AND(J35="Útil",M35&gt;0,K35=0,C35="",A35&lt;=DataRef),"Sem marcações no dia; ","")&amp;IF(T35&gt;0,"Intervalo abaixo do mínimo; ","")&amp;IF(U35&gt;0,"Descanso entre jornadas menor que 11h; ","")&amp;IF(AF35&gt;2/24+1/86400,"Mais de 2h extras no dia (CLT, art. 59); ","")&amp;IF(C35="Falta injustificada","Falta injustificada: pode descontar o DSR da semana; ","")&amp;IF(AND(J35="Abonado",K35&gt;0),"Horas marcadas em dia abonado; ",""))</f>
        <v/>
      </c>
    </row>
    <row r="36" customFormat="false" ht="16.5" hidden="false" customHeight="true" outlineLevel="0" collapsed="false">
      <c r="A36" s="31" t="n">
        <f aca="false">IF(ROW()-10&lt;=DAY(FimMes),InicioMes+ROW()-11,"")</f>
        <v>46321</v>
      </c>
      <c r="B36" s="32" t="str">
        <f aca="false">IF(A36="","",CHOOSE(WEEKDAY(A36),"Dom","Seg","Ter","Qua","Qui","Sex","Sáb"))</f>
        <v>Seg</v>
      </c>
      <c r="C36" s="41"/>
      <c r="D36" s="42" t="n">
        <v>0.333333333333333</v>
      </c>
      <c r="E36" s="42" t="n">
        <v>0.5</v>
      </c>
      <c r="F36" s="42" t="n">
        <v>0.541666666666667</v>
      </c>
      <c r="G36" s="42" t="n">
        <v>0.741666666666667</v>
      </c>
      <c r="H36" s="42"/>
      <c r="I36" s="42"/>
      <c r="J36" s="32" t="str">
        <f aca="false">IF(A36="","",IF(OR(C36="Folga (DSR)",C36="Feriado"),"Descanso",IF(OR(C36="Atestado / abonado",C36="Férias",C36="Compensação (banco)"),"Abonado",IF(C36="Trabalho em escala","Útil",AE36))))</f>
        <v>Útil</v>
      </c>
      <c r="K36" s="43" t="n">
        <f aca="false">IF(A36="",0,ROUND((X36+Y36+Z36-AD36)*1440,0)/1440)</f>
        <v>0.366666666666667</v>
      </c>
      <c r="L36" s="43" t="n">
        <f aca="false">IF(A36="",0,K36+IF(HoraReduzida="Sim",ROUND((AA36+AB36+AC36)/7*1440,0)/1440,0))</f>
        <v>0.366666666666667</v>
      </c>
      <c r="M36" s="43" t="n">
        <f aca="false">IF(OR(A36="",J36&lt;&gt;"Útil"),0,IF(C36="Trabalho em escala",$O$7,INDEX($M$6:$S$6,WEEKDAY(A36))))</f>
        <v>0.366666666666667</v>
      </c>
      <c r="N36" s="44" t="n">
        <f aca="false">MIN(AF36,LimiteHE1)</f>
        <v>0</v>
      </c>
      <c r="O36" s="44" t="n">
        <f aca="false">AF36-N36</f>
        <v>0</v>
      </c>
      <c r="P36" s="44" t="n">
        <f aca="false">IF(J36="Descanso",L36,0)</f>
        <v>0</v>
      </c>
      <c r="Q36" s="43" t="n">
        <f aca="false">IF(A36="",0,ROUND((AA36+AB36+AC36)*IF(HoraReduzida="Sim",8/7,1)*1440,0)/1440)</f>
        <v>0</v>
      </c>
      <c r="R36" s="43" t="n">
        <f aca="false">IF(J36="Descanso",Q36,MIN(Q36,AF36))</f>
        <v>0</v>
      </c>
      <c r="S36" s="45" t="n">
        <f aca="false">IF(OR(J36&lt;&gt;"Útil",AND(K36=0,C36="",A36&gt;DataRef)),0,IF(M36-L36&gt;Tolerancia+1/86400,M36-L36,0))</f>
        <v>0</v>
      </c>
      <c r="T36" s="43" t="n">
        <f aca="false">IF(OR($J$7&lt;&gt;"Sim",A36=""),0,IF(K36&gt;6/24+1/86400,IF(1/24-AI36&gt;TolIntervalo+1/86400,1/24-AI36,0),IF(K36&gt;4/24+1/86400,IF(15/1440-AI36&gt;TolIntervalo+1/86400,15/1440-AI36,0),0)))</f>
        <v>0</v>
      </c>
      <c r="U36" s="43" t="n">
        <f aca="false">IF(OR(AG36="",AH35=""),0,MAX(0,ROUND((11/24-(AG36-AH35))*1440,0)/1440))</f>
        <v>0</v>
      </c>
      <c r="V36" s="46" t="str">
        <f aca="false">IF(AJ36="","",LEFT(AJ36,LEN(AJ36)-2))</f>
        <v/>
      </c>
      <c r="X36" s="47" t="n">
        <f aca="false">IF(OR(D36="",E36=""),0,MOD(E36-D36,1))</f>
        <v>0.166666666666667</v>
      </c>
      <c r="Y36" s="47" t="n">
        <f aca="false">IF(OR(F36="",G36=""),0,MOD(G36-F36,1))</f>
        <v>0.2</v>
      </c>
      <c r="Z36" s="47" t="n">
        <f aca="false">IF(OR(H36="",I36=""),0,MOD(I36-H36,1))</f>
        <v>0</v>
      </c>
      <c r="AA36" s="47" t="n">
        <f aca="false">IF(X36=0,0,MAX(0,MIN(D36+X36,5/24)-D36)+MAX(0,MIN(D36+X36,29/24)-MAX(D36,22/24)))</f>
        <v>0</v>
      </c>
      <c r="AB36" s="47" t="n">
        <f aca="false">IF(Y36=0,0,MAX(0,MIN(F36+Y36,5/24)-F36)+MAX(0,MIN(F36+Y36,29/24)-MAX(F36,22/24)))</f>
        <v>0</v>
      </c>
      <c r="AC36" s="47" t="n">
        <f aca="false">IF(Z36=0,0,MAX(0,MIN(H36+Z36,5/24)-H36)+MAX(0,MIN(H36+Z36,29/24)-MAX(H36,22/24)))</f>
        <v>0</v>
      </c>
      <c r="AD36" s="47" t="n">
        <f aca="false">IF(AND($J$7="Não",F36="",H36="",X36&gt;6/24),$S$7,0)</f>
        <v>0</v>
      </c>
      <c r="AE36" s="48" t="str">
        <f aca="false">IF(A36="","",IF(OR(WEEKDAY(A36)=1,COUNTIF(Feriados,A36)&gt;0),"Descanso","Útil"))</f>
        <v>Útil</v>
      </c>
      <c r="AF36" s="47" t="n">
        <f aca="false">IF(J36&lt;&gt;"Útil",0,IF(L36-M36&gt;Tolerancia+1/86400,L36-M36,0))</f>
        <v>0</v>
      </c>
      <c r="AG36" s="49" t="n">
        <f aca="false">IF(OR(A36="",D36=""),"",A36+D36)</f>
        <v>46321.3333333333</v>
      </c>
      <c r="AH36" s="49" t="n">
        <f aca="false">IF(A36="","",IF(AND(H36&lt;&gt;"",I36&lt;&gt;""),A36+I36+IF(I36&lt;D36,1,0),IF(AND(F36&lt;&gt;"",G36&lt;&gt;""),A36+G36+IF(G36&lt;D36,1,0),IF(AND(D36&lt;&gt;"",E36&lt;&gt;""),A36+E36+IF(E36&lt;D36,1,0),""))))</f>
        <v>46321.7416666667</v>
      </c>
      <c r="AI36" s="47" t="n">
        <f aca="false">IF(AND(E36&lt;&gt;"",F36&lt;&gt;""),MOD(F36-E36,1),0)</f>
        <v>0.0416666666666667</v>
      </c>
      <c r="AJ36" s="48" t="str">
        <f aca="false">IF(A36="","",IF(OR(AND(D36&lt;&gt;"",E36=""),AND(D36="",E36&lt;&gt;""),AND(F36&lt;&gt;"",G36=""),AND(F36="",G36&lt;&gt;""),AND(H36&lt;&gt;"",I36=""),AND(H36="",I36&lt;&gt;"")),"Marcação incompleta; ","")&amp;IF(AND(J36="Útil",M36&gt;0,K36=0,C36="",A36&lt;=DataRef),"Sem marcações no dia; ","")&amp;IF(T36&gt;0,"Intervalo abaixo do mínimo; ","")&amp;IF(U36&gt;0,"Descanso entre jornadas menor que 11h; ","")&amp;IF(AF36&gt;2/24+1/86400,"Mais de 2h extras no dia (CLT, art. 59); ","")&amp;IF(C36="Falta injustificada","Falta injustificada: pode descontar o DSR da semana; ","")&amp;IF(AND(J36="Abonado",K36&gt;0),"Horas marcadas em dia abonado; ",""))</f>
        <v/>
      </c>
    </row>
    <row r="37" customFormat="false" ht="16.5" hidden="false" customHeight="true" outlineLevel="0" collapsed="false">
      <c r="A37" s="31" t="n">
        <f aca="false">IF(ROW()-10&lt;=DAY(FimMes),InicioMes+ROW()-11,"")</f>
        <v>46322</v>
      </c>
      <c r="B37" s="32" t="str">
        <f aca="false">IF(A37="","",CHOOSE(WEEKDAY(A37),"Dom","Seg","Ter","Qua","Qui","Sex","Sáb"))</f>
        <v>Ter</v>
      </c>
      <c r="C37" s="41"/>
      <c r="D37" s="42" t="n">
        <v>0.333333333333333</v>
      </c>
      <c r="E37" s="42" t="n">
        <v>0.5</v>
      </c>
      <c r="F37" s="42" t="n">
        <v>0.541666666666667</v>
      </c>
      <c r="G37" s="42" t="n">
        <v>0.783333333333333</v>
      </c>
      <c r="H37" s="42"/>
      <c r="I37" s="42"/>
      <c r="J37" s="32" t="str">
        <f aca="false">IF(A37="","",IF(OR(C37="Folga (DSR)",C37="Feriado"),"Descanso",IF(OR(C37="Atestado / abonado",C37="Férias",C37="Compensação (banco)"),"Abonado",IF(C37="Trabalho em escala","Útil",AE37))))</f>
        <v>Útil</v>
      </c>
      <c r="K37" s="43" t="n">
        <f aca="false">IF(A37="",0,ROUND((X37+Y37+Z37-AD37)*1440,0)/1440)</f>
        <v>0.408333333333333</v>
      </c>
      <c r="L37" s="43" t="n">
        <f aca="false">IF(A37="",0,K37+IF(HoraReduzida="Sim",ROUND((AA37+AB37+AC37)/7*1440,0)/1440,0))</f>
        <v>0.408333333333333</v>
      </c>
      <c r="M37" s="43" t="n">
        <f aca="false">IF(OR(A37="",J37&lt;&gt;"Útil"),0,IF(C37="Trabalho em escala",$O$7,INDEX($M$6:$S$6,WEEKDAY(A37))))</f>
        <v>0.366666666666667</v>
      </c>
      <c r="N37" s="44" t="n">
        <f aca="false">MIN(AF37,LimiteHE1)</f>
        <v>0.0416666666666667</v>
      </c>
      <c r="O37" s="44" t="n">
        <f aca="false">AF37-N37</f>
        <v>0</v>
      </c>
      <c r="P37" s="44" t="n">
        <f aca="false">IF(J37="Descanso",L37,0)</f>
        <v>0</v>
      </c>
      <c r="Q37" s="43" t="n">
        <f aca="false">IF(A37="",0,ROUND((AA37+AB37+AC37)*IF(HoraReduzida="Sim",8/7,1)*1440,0)/1440)</f>
        <v>0</v>
      </c>
      <c r="R37" s="43" t="n">
        <f aca="false">IF(J37="Descanso",Q37,MIN(Q37,AF37))</f>
        <v>0</v>
      </c>
      <c r="S37" s="45" t="n">
        <f aca="false">IF(OR(J37&lt;&gt;"Útil",AND(K37=0,C37="",A37&gt;DataRef)),0,IF(M37-L37&gt;Tolerancia+1/86400,M37-L37,0))</f>
        <v>0</v>
      </c>
      <c r="T37" s="43" t="n">
        <f aca="false">IF(OR($J$7&lt;&gt;"Sim",A37=""),0,IF(K37&gt;6/24+1/86400,IF(1/24-AI37&gt;TolIntervalo+1/86400,1/24-AI37,0),IF(K37&gt;4/24+1/86400,IF(15/1440-AI37&gt;TolIntervalo+1/86400,15/1440-AI37,0),0)))</f>
        <v>0</v>
      </c>
      <c r="U37" s="43" t="n">
        <f aca="false">IF(OR(AG37="",AH36=""),0,MAX(0,ROUND((11/24-(AG37-AH36))*1440,0)/1440))</f>
        <v>0</v>
      </c>
      <c r="V37" s="46" t="str">
        <f aca="false">IF(AJ37="","",LEFT(AJ37,LEN(AJ37)-2))</f>
        <v/>
      </c>
      <c r="X37" s="47" t="n">
        <f aca="false">IF(OR(D37="",E37=""),0,MOD(E37-D37,1))</f>
        <v>0.166666666666667</v>
      </c>
      <c r="Y37" s="47" t="n">
        <f aca="false">IF(OR(F37="",G37=""),0,MOD(G37-F37,1))</f>
        <v>0.241666666666667</v>
      </c>
      <c r="Z37" s="47" t="n">
        <f aca="false">IF(OR(H37="",I37=""),0,MOD(I37-H37,1))</f>
        <v>0</v>
      </c>
      <c r="AA37" s="47" t="n">
        <f aca="false">IF(X37=0,0,MAX(0,MIN(D37+X37,5/24)-D37)+MAX(0,MIN(D37+X37,29/24)-MAX(D37,22/24)))</f>
        <v>0</v>
      </c>
      <c r="AB37" s="47" t="n">
        <f aca="false">IF(Y37=0,0,MAX(0,MIN(F37+Y37,5/24)-F37)+MAX(0,MIN(F37+Y37,29/24)-MAX(F37,22/24)))</f>
        <v>0</v>
      </c>
      <c r="AC37" s="47" t="n">
        <f aca="false">IF(Z37=0,0,MAX(0,MIN(H37+Z37,5/24)-H37)+MAX(0,MIN(H37+Z37,29/24)-MAX(H37,22/24)))</f>
        <v>0</v>
      </c>
      <c r="AD37" s="47" t="n">
        <f aca="false">IF(AND($J$7="Não",F37="",H37="",X37&gt;6/24),$S$7,0)</f>
        <v>0</v>
      </c>
      <c r="AE37" s="48" t="str">
        <f aca="false">IF(A37="","",IF(OR(WEEKDAY(A37)=1,COUNTIF(Feriados,A37)&gt;0),"Descanso","Útil"))</f>
        <v>Útil</v>
      </c>
      <c r="AF37" s="47" t="n">
        <f aca="false">IF(J37&lt;&gt;"Útil",0,IF(L37-M37&gt;Tolerancia+1/86400,L37-M37,0))</f>
        <v>0.0416666666666667</v>
      </c>
      <c r="AG37" s="49" t="n">
        <f aca="false">IF(OR(A37="",D37=""),"",A37+D37)</f>
        <v>46322.3333333333</v>
      </c>
      <c r="AH37" s="49" t="n">
        <f aca="false">IF(A37="","",IF(AND(H37&lt;&gt;"",I37&lt;&gt;""),A37+I37+IF(I37&lt;D37,1,0),IF(AND(F37&lt;&gt;"",G37&lt;&gt;""),A37+G37+IF(G37&lt;D37,1,0),IF(AND(D37&lt;&gt;"",E37&lt;&gt;""),A37+E37+IF(E37&lt;D37,1,0),""))))</f>
        <v>46322.7833333333</v>
      </c>
      <c r="AI37" s="47" t="n">
        <f aca="false">IF(AND(E37&lt;&gt;"",F37&lt;&gt;""),MOD(F37-E37,1),0)</f>
        <v>0.0416666666666667</v>
      </c>
      <c r="AJ37" s="48" t="str">
        <f aca="false">IF(A37="","",IF(OR(AND(D37&lt;&gt;"",E37=""),AND(D37="",E37&lt;&gt;""),AND(F37&lt;&gt;"",G37=""),AND(F37="",G37&lt;&gt;""),AND(H37&lt;&gt;"",I37=""),AND(H37="",I37&lt;&gt;"")),"Marcação incompleta; ","")&amp;IF(AND(J37="Útil",M37&gt;0,K37=0,C37="",A37&lt;=DataRef),"Sem marcações no dia; ","")&amp;IF(T37&gt;0,"Intervalo abaixo do mínimo; ","")&amp;IF(U37&gt;0,"Descanso entre jornadas menor que 11h; ","")&amp;IF(AF37&gt;2/24+1/86400,"Mais de 2h extras no dia (CLT, art. 59); ","")&amp;IF(C37="Falta injustificada","Falta injustificada: pode descontar o DSR da semana; ","")&amp;IF(AND(J37="Abonado",K37&gt;0),"Horas marcadas em dia abonado; ",""))</f>
        <v/>
      </c>
    </row>
    <row r="38" customFormat="false" ht="16.5" hidden="false" customHeight="true" outlineLevel="0" collapsed="false">
      <c r="A38" s="31" t="n">
        <f aca="false">IF(ROW()-10&lt;=DAY(FimMes),InicioMes+ROW()-11,"")</f>
        <v>46323</v>
      </c>
      <c r="B38" s="32" t="str">
        <f aca="false">IF(A38="","",CHOOSE(WEEKDAY(A38),"Dom","Seg","Ter","Qua","Qui","Sex","Sáb"))</f>
        <v>Qua</v>
      </c>
      <c r="C38" s="41"/>
      <c r="D38" s="42" t="n">
        <v>0.333333333333333</v>
      </c>
      <c r="E38" s="42" t="n">
        <v>0.5</v>
      </c>
      <c r="F38" s="42" t="n">
        <v>0.541666666666667</v>
      </c>
      <c r="G38" s="42" t="n">
        <v>0.741666666666667</v>
      </c>
      <c r="H38" s="42"/>
      <c r="I38" s="42"/>
      <c r="J38" s="32" t="str">
        <f aca="false">IF(A38="","",IF(OR(C38="Folga (DSR)",C38="Feriado"),"Descanso",IF(OR(C38="Atestado / abonado",C38="Férias",C38="Compensação (banco)"),"Abonado",IF(C38="Trabalho em escala","Útil",AE38))))</f>
        <v>Útil</v>
      </c>
      <c r="K38" s="43" t="n">
        <f aca="false">IF(A38="",0,ROUND((X38+Y38+Z38-AD38)*1440,0)/1440)</f>
        <v>0.366666666666667</v>
      </c>
      <c r="L38" s="43" t="n">
        <f aca="false">IF(A38="",0,K38+IF(HoraReduzida="Sim",ROUND((AA38+AB38+AC38)/7*1440,0)/1440,0))</f>
        <v>0.366666666666667</v>
      </c>
      <c r="M38" s="43" t="n">
        <f aca="false">IF(OR(A38="",J38&lt;&gt;"Útil"),0,IF(C38="Trabalho em escala",$O$7,INDEX($M$6:$S$6,WEEKDAY(A38))))</f>
        <v>0.366666666666667</v>
      </c>
      <c r="N38" s="44" t="n">
        <f aca="false">MIN(AF38,LimiteHE1)</f>
        <v>0</v>
      </c>
      <c r="O38" s="44" t="n">
        <f aca="false">AF38-N38</f>
        <v>0</v>
      </c>
      <c r="P38" s="44" t="n">
        <f aca="false">IF(J38="Descanso",L38,0)</f>
        <v>0</v>
      </c>
      <c r="Q38" s="43" t="n">
        <f aca="false">IF(A38="",0,ROUND((AA38+AB38+AC38)*IF(HoraReduzida="Sim",8/7,1)*1440,0)/1440)</f>
        <v>0</v>
      </c>
      <c r="R38" s="43" t="n">
        <f aca="false">IF(J38="Descanso",Q38,MIN(Q38,AF38))</f>
        <v>0</v>
      </c>
      <c r="S38" s="45" t="n">
        <f aca="false">IF(OR(J38&lt;&gt;"Útil",AND(K38=0,C38="",A38&gt;DataRef)),0,IF(M38-L38&gt;Tolerancia+1/86400,M38-L38,0))</f>
        <v>0</v>
      </c>
      <c r="T38" s="43" t="n">
        <f aca="false">IF(OR($J$7&lt;&gt;"Sim",A38=""),0,IF(K38&gt;6/24+1/86400,IF(1/24-AI38&gt;TolIntervalo+1/86400,1/24-AI38,0),IF(K38&gt;4/24+1/86400,IF(15/1440-AI38&gt;TolIntervalo+1/86400,15/1440-AI38,0),0)))</f>
        <v>0</v>
      </c>
      <c r="U38" s="43" t="n">
        <f aca="false">IF(OR(AG38="",AH37=""),0,MAX(0,ROUND((11/24-(AG38-AH37))*1440,0)/1440))</f>
        <v>0</v>
      </c>
      <c r="V38" s="46" t="str">
        <f aca="false">IF(AJ38="","",LEFT(AJ38,LEN(AJ38)-2))</f>
        <v/>
      </c>
      <c r="X38" s="47" t="n">
        <f aca="false">IF(OR(D38="",E38=""),0,MOD(E38-D38,1))</f>
        <v>0.166666666666667</v>
      </c>
      <c r="Y38" s="47" t="n">
        <f aca="false">IF(OR(F38="",G38=""),0,MOD(G38-F38,1))</f>
        <v>0.2</v>
      </c>
      <c r="Z38" s="47" t="n">
        <f aca="false">IF(OR(H38="",I38=""),0,MOD(I38-H38,1))</f>
        <v>0</v>
      </c>
      <c r="AA38" s="47" t="n">
        <f aca="false">IF(X38=0,0,MAX(0,MIN(D38+X38,5/24)-D38)+MAX(0,MIN(D38+X38,29/24)-MAX(D38,22/24)))</f>
        <v>0</v>
      </c>
      <c r="AB38" s="47" t="n">
        <f aca="false">IF(Y38=0,0,MAX(0,MIN(F38+Y38,5/24)-F38)+MAX(0,MIN(F38+Y38,29/24)-MAX(F38,22/24)))</f>
        <v>0</v>
      </c>
      <c r="AC38" s="47" t="n">
        <f aca="false">IF(Z38=0,0,MAX(0,MIN(H38+Z38,5/24)-H38)+MAX(0,MIN(H38+Z38,29/24)-MAX(H38,22/24)))</f>
        <v>0</v>
      </c>
      <c r="AD38" s="47" t="n">
        <f aca="false">IF(AND($J$7="Não",F38="",H38="",X38&gt;6/24),$S$7,0)</f>
        <v>0</v>
      </c>
      <c r="AE38" s="48" t="str">
        <f aca="false">IF(A38="","",IF(OR(WEEKDAY(A38)=1,COUNTIF(Feriados,A38)&gt;0),"Descanso","Útil"))</f>
        <v>Útil</v>
      </c>
      <c r="AF38" s="47" t="n">
        <f aca="false">IF(J38&lt;&gt;"Útil",0,IF(L38-M38&gt;Tolerancia+1/86400,L38-M38,0))</f>
        <v>0</v>
      </c>
      <c r="AG38" s="49" t="n">
        <f aca="false">IF(OR(A38="",D38=""),"",A38+D38)</f>
        <v>46323.3333333333</v>
      </c>
      <c r="AH38" s="49" t="n">
        <f aca="false">IF(A38="","",IF(AND(H38&lt;&gt;"",I38&lt;&gt;""),A38+I38+IF(I38&lt;D38,1,0),IF(AND(F38&lt;&gt;"",G38&lt;&gt;""),A38+G38+IF(G38&lt;D38,1,0),IF(AND(D38&lt;&gt;"",E38&lt;&gt;""),A38+E38+IF(E38&lt;D38,1,0),""))))</f>
        <v>46323.7416666667</v>
      </c>
      <c r="AI38" s="47" t="n">
        <f aca="false">IF(AND(E38&lt;&gt;"",F38&lt;&gt;""),MOD(F38-E38,1),0)</f>
        <v>0.0416666666666667</v>
      </c>
      <c r="AJ38" s="48" t="str">
        <f aca="false">IF(A38="","",IF(OR(AND(D38&lt;&gt;"",E38=""),AND(D38="",E38&lt;&gt;""),AND(F38&lt;&gt;"",G38=""),AND(F38="",G38&lt;&gt;""),AND(H38&lt;&gt;"",I38=""),AND(H38="",I38&lt;&gt;"")),"Marcação incompleta; ","")&amp;IF(AND(J38="Útil",M38&gt;0,K38=0,C38="",A38&lt;=DataRef),"Sem marcações no dia; ","")&amp;IF(T38&gt;0,"Intervalo abaixo do mínimo; ","")&amp;IF(U38&gt;0,"Descanso entre jornadas menor que 11h; ","")&amp;IF(AF38&gt;2/24+1/86400,"Mais de 2h extras no dia (CLT, art. 59); ","")&amp;IF(C38="Falta injustificada","Falta injustificada: pode descontar o DSR da semana; ","")&amp;IF(AND(J38="Abonado",K38&gt;0),"Horas marcadas em dia abonado; ",""))</f>
        <v/>
      </c>
    </row>
    <row r="39" customFormat="false" ht="16.5" hidden="false" customHeight="true" outlineLevel="0" collapsed="false">
      <c r="A39" s="31" t="n">
        <f aca="false">IF(ROW()-10&lt;=DAY(FimMes),InicioMes+ROW()-11,"")</f>
        <v>46324</v>
      </c>
      <c r="B39" s="32" t="str">
        <f aca="false">IF(A39="","",CHOOSE(WEEKDAY(A39),"Dom","Seg","Ter","Qua","Qui","Sex","Sáb"))</f>
        <v>Qui</v>
      </c>
      <c r="C39" s="41"/>
      <c r="D39" s="42" t="n">
        <v>0.333333333333333</v>
      </c>
      <c r="E39" s="42" t="n">
        <v>0.5</v>
      </c>
      <c r="F39" s="42" t="n">
        <v>0.541666666666667</v>
      </c>
      <c r="G39" s="42" t="n">
        <v>0.741666666666667</v>
      </c>
      <c r="H39" s="42"/>
      <c r="I39" s="42"/>
      <c r="J39" s="32" t="str">
        <f aca="false">IF(A39="","",IF(OR(C39="Folga (DSR)",C39="Feriado"),"Descanso",IF(OR(C39="Atestado / abonado",C39="Férias",C39="Compensação (banco)"),"Abonado",IF(C39="Trabalho em escala","Útil",AE39))))</f>
        <v>Útil</v>
      </c>
      <c r="K39" s="43" t="n">
        <f aca="false">IF(A39="",0,ROUND((X39+Y39+Z39-AD39)*1440,0)/1440)</f>
        <v>0.366666666666667</v>
      </c>
      <c r="L39" s="43" t="n">
        <f aca="false">IF(A39="",0,K39+IF(HoraReduzida="Sim",ROUND((AA39+AB39+AC39)/7*1440,0)/1440,0))</f>
        <v>0.366666666666667</v>
      </c>
      <c r="M39" s="43" t="n">
        <f aca="false">IF(OR(A39="",J39&lt;&gt;"Útil"),0,IF(C39="Trabalho em escala",$O$7,INDEX($M$6:$S$6,WEEKDAY(A39))))</f>
        <v>0.366666666666667</v>
      </c>
      <c r="N39" s="44" t="n">
        <f aca="false">MIN(AF39,LimiteHE1)</f>
        <v>0</v>
      </c>
      <c r="O39" s="44" t="n">
        <f aca="false">AF39-N39</f>
        <v>0</v>
      </c>
      <c r="P39" s="44" t="n">
        <f aca="false">IF(J39="Descanso",L39,0)</f>
        <v>0</v>
      </c>
      <c r="Q39" s="43" t="n">
        <f aca="false">IF(A39="",0,ROUND((AA39+AB39+AC39)*IF(HoraReduzida="Sim",8/7,1)*1440,0)/1440)</f>
        <v>0</v>
      </c>
      <c r="R39" s="43" t="n">
        <f aca="false">IF(J39="Descanso",Q39,MIN(Q39,AF39))</f>
        <v>0</v>
      </c>
      <c r="S39" s="45" t="n">
        <f aca="false">IF(OR(J39&lt;&gt;"Útil",AND(K39=0,C39="",A39&gt;DataRef)),0,IF(M39-L39&gt;Tolerancia+1/86400,M39-L39,0))</f>
        <v>0</v>
      </c>
      <c r="T39" s="43" t="n">
        <f aca="false">IF(OR($J$7&lt;&gt;"Sim",A39=""),0,IF(K39&gt;6/24+1/86400,IF(1/24-AI39&gt;TolIntervalo+1/86400,1/24-AI39,0),IF(K39&gt;4/24+1/86400,IF(15/1440-AI39&gt;TolIntervalo+1/86400,15/1440-AI39,0),0)))</f>
        <v>0</v>
      </c>
      <c r="U39" s="43" t="n">
        <f aca="false">IF(OR(AG39="",AH38=""),0,MAX(0,ROUND((11/24-(AG39-AH38))*1440,0)/1440))</f>
        <v>0</v>
      </c>
      <c r="V39" s="46" t="str">
        <f aca="false">IF(AJ39="","",LEFT(AJ39,LEN(AJ39)-2))</f>
        <v/>
      </c>
      <c r="X39" s="47" t="n">
        <f aca="false">IF(OR(D39="",E39=""),0,MOD(E39-D39,1))</f>
        <v>0.166666666666667</v>
      </c>
      <c r="Y39" s="47" t="n">
        <f aca="false">IF(OR(F39="",G39=""),0,MOD(G39-F39,1))</f>
        <v>0.2</v>
      </c>
      <c r="Z39" s="47" t="n">
        <f aca="false">IF(OR(H39="",I39=""),0,MOD(I39-H39,1))</f>
        <v>0</v>
      </c>
      <c r="AA39" s="47" t="n">
        <f aca="false">IF(X39=0,0,MAX(0,MIN(D39+X39,5/24)-D39)+MAX(0,MIN(D39+X39,29/24)-MAX(D39,22/24)))</f>
        <v>0</v>
      </c>
      <c r="AB39" s="47" t="n">
        <f aca="false">IF(Y39=0,0,MAX(0,MIN(F39+Y39,5/24)-F39)+MAX(0,MIN(F39+Y39,29/24)-MAX(F39,22/24)))</f>
        <v>0</v>
      </c>
      <c r="AC39" s="47" t="n">
        <f aca="false">IF(Z39=0,0,MAX(0,MIN(H39+Z39,5/24)-H39)+MAX(0,MIN(H39+Z39,29/24)-MAX(H39,22/24)))</f>
        <v>0</v>
      </c>
      <c r="AD39" s="47" t="n">
        <f aca="false">IF(AND($J$7="Não",F39="",H39="",X39&gt;6/24),$S$7,0)</f>
        <v>0</v>
      </c>
      <c r="AE39" s="48" t="str">
        <f aca="false">IF(A39="","",IF(OR(WEEKDAY(A39)=1,COUNTIF(Feriados,A39)&gt;0),"Descanso","Útil"))</f>
        <v>Útil</v>
      </c>
      <c r="AF39" s="47" t="n">
        <f aca="false">IF(J39&lt;&gt;"Útil",0,IF(L39-M39&gt;Tolerancia+1/86400,L39-M39,0))</f>
        <v>0</v>
      </c>
      <c r="AG39" s="49" t="n">
        <f aca="false">IF(OR(A39="",D39=""),"",A39+D39)</f>
        <v>46324.3333333333</v>
      </c>
      <c r="AH39" s="49" t="n">
        <f aca="false">IF(A39="","",IF(AND(H39&lt;&gt;"",I39&lt;&gt;""),A39+I39+IF(I39&lt;D39,1,0),IF(AND(F39&lt;&gt;"",G39&lt;&gt;""),A39+G39+IF(G39&lt;D39,1,0),IF(AND(D39&lt;&gt;"",E39&lt;&gt;""),A39+E39+IF(E39&lt;D39,1,0),""))))</f>
        <v>46324.7416666667</v>
      </c>
      <c r="AI39" s="47" t="n">
        <f aca="false">IF(AND(E39&lt;&gt;"",F39&lt;&gt;""),MOD(F39-E39,1),0)</f>
        <v>0.0416666666666667</v>
      </c>
      <c r="AJ39" s="48" t="str">
        <f aca="false">IF(A39="","",IF(OR(AND(D39&lt;&gt;"",E39=""),AND(D39="",E39&lt;&gt;""),AND(F39&lt;&gt;"",G39=""),AND(F39="",G39&lt;&gt;""),AND(H39&lt;&gt;"",I39=""),AND(H39="",I39&lt;&gt;"")),"Marcação incompleta; ","")&amp;IF(AND(J39="Útil",M39&gt;0,K39=0,C39="",A39&lt;=DataRef),"Sem marcações no dia; ","")&amp;IF(T39&gt;0,"Intervalo abaixo do mínimo; ","")&amp;IF(U39&gt;0,"Descanso entre jornadas menor que 11h; ","")&amp;IF(AF39&gt;2/24+1/86400,"Mais de 2h extras no dia (CLT, art. 59); ","")&amp;IF(C39="Falta injustificada","Falta injustificada: pode descontar o DSR da semana; ","")&amp;IF(AND(J39="Abonado",K39&gt;0),"Horas marcadas em dia abonado; ",""))</f>
        <v/>
      </c>
    </row>
    <row r="40" customFormat="false" ht="16.5" hidden="false" customHeight="true" outlineLevel="0" collapsed="false">
      <c r="A40" s="31" t="n">
        <f aca="false">IF(ROW()-10&lt;=DAY(FimMes),InicioMes+ROW()-11,"")</f>
        <v>46325</v>
      </c>
      <c r="B40" s="32" t="str">
        <f aca="false">IF(A40="","",CHOOSE(WEEKDAY(A40),"Dom","Seg","Ter","Qua","Qui","Sex","Sáb"))</f>
        <v>Sex</v>
      </c>
      <c r="C40" s="41"/>
      <c r="D40" s="42" t="n">
        <v>0.333333333333333</v>
      </c>
      <c r="E40" s="42" t="n">
        <v>0.5</v>
      </c>
      <c r="F40" s="42" t="n">
        <v>0.541666666666667</v>
      </c>
      <c r="G40" s="42" t="n">
        <v>0.7</v>
      </c>
      <c r="H40" s="42"/>
      <c r="I40" s="42"/>
      <c r="J40" s="32" t="str">
        <f aca="false">IF(A40="","",IF(OR(C40="Folga (DSR)",C40="Feriado"),"Descanso",IF(OR(C40="Atestado / abonado",C40="Férias",C40="Compensação (banco)"),"Abonado",IF(C40="Trabalho em escala","Útil",AE40))))</f>
        <v>Útil</v>
      </c>
      <c r="K40" s="43" t="n">
        <f aca="false">IF(A40="",0,ROUND((X40+Y40+Z40-AD40)*1440,0)/1440)</f>
        <v>0.325</v>
      </c>
      <c r="L40" s="43" t="n">
        <f aca="false">IF(A40="",0,K40+IF(HoraReduzida="Sim",ROUND((AA40+AB40+AC40)/7*1440,0)/1440,0))</f>
        <v>0.325</v>
      </c>
      <c r="M40" s="43" t="n">
        <f aca="false">IF(OR(A40="",J40&lt;&gt;"Útil"),0,IF(C40="Trabalho em escala",$O$7,INDEX($M$6:$S$6,WEEKDAY(A40))))</f>
        <v>0.366666666666667</v>
      </c>
      <c r="N40" s="44" t="n">
        <f aca="false">MIN(AF40,LimiteHE1)</f>
        <v>0</v>
      </c>
      <c r="O40" s="44" t="n">
        <f aca="false">AF40-N40</f>
        <v>0</v>
      </c>
      <c r="P40" s="44" t="n">
        <f aca="false">IF(J40="Descanso",L40,0)</f>
        <v>0</v>
      </c>
      <c r="Q40" s="43" t="n">
        <f aca="false">IF(A40="",0,ROUND((AA40+AB40+AC40)*IF(HoraReduzida="Sim",8/7,1)*1440,0)/1440)</f>
        <v>0</v>
      </c>
      <c r="R40" s="43" t="n">
        <f aca="false">IF(J40="Descanso",Q40,MIN(Q40,AF40))</f>
        <v>0</v>
      </c>
      <c r="S40" s="45" t="n">
        <f aca="false">IF(OR(J40&lt;&gt;"Útil",AND(K40=0,C40="",A40&gt;DataRef)),0,IF(M40-L40&gt;Tolerancia+1/86400,M40-L40,0))</f>
        <v>0.0416666666666667</v>
      </c>
      <c r="T40" s="43" t="n">
        <f aca="false">IF(OR($J$7&lt;&gt;"Sim",A40=""),0,IF(K40&gt;6/24+1/86400,IF(1/24-AI40&gt;TolIntervalo+1/86400,1/24-AI40,0),IF(K40&gt;4/24+1/86400,IF(15/1440-AI40&gt;TolIntervalo+1/86400,15/1440-AI40,0),0)))</f>
        <v>0</v>
      </c>
      <c r="U40" s="43" t="n">
        <f aca="false">IF(OR(AG40="",AH39=""),0,MAX(0,ROUND((11/24-(AG40-AH39))*1440,0)/1440))</f>
        <v>0</v>
      </c>
      <c r="V40" s="46" t="str">
        <f aca="false">IF(AJ40="","",LEFT(AJ40,LEN(AJ40)-2))</f>
        <v/>
      </c>
      <c r="X40" s="47" t="n">
        <f aca="false">IF(OR(D40="",E40=""),0,MOD(E40-D40,1))</f>
        <v>0.166666666666667</v>
      </c>
      <c r="Y40" s="47" t="n">
        <f aca="false">IF(OR(F40="",G40=""),0,MOD(G40-F40,1))</f>
        <v>0.158333333333333</v>
      </c>
      <c r="Z40" s="47" t="n">
        <f aca="false">IF(OR(H40="",I40=""),0,MOD(I40-H40,1))</f>
        <v>0</v>
      </c>
      <c r="AA40" s="47" t="n">
        <f aca="false">IF(X40=0,0,MAX(0,MIN(D40+X40,5/24)-D40)+MAX(0,MIN(D40+X40,29/24)-MAX(D40,22/24)))</f>
        <v>0</v>
      </c>
      <c r="AB40" s="47" t="n">
        <f aca="false">IF(Y40=0,0,MAX(0,MIN(F40+Y40,5/24)-F40)+MAX(0,MIN(F40+Y40,29/24)-MAX(F40,22/24)))</f>
        <v>0</v>
      </c>
      <c r="AC40" s="47" t="n">
        <f aca="false">IF(Z40=0,0,MAX(0,MIN(H40+Z40,5/24)-H40)+MAX(0,MIN(H40+Z40,29/24)-MAX(H40,22/24)))</f>
        <v>0</v>
      </c>
      <c r="AD40" s="47" t="n">
        <f aca="false">IF(AND($J$7="Não",F40="",H40="",X40&gt;6/24),$S$7,0)</f>
        <v>0</v>
      </c>
      <c r="AE40" s="48" t="str">
        <f aca="false">IF(A40="","",IF(OR(WEEKDAY(A40)=1,COUNTIF(Feriados,A40)&gt;0),"Descanso","Útil"))</f>
        <v>Útil</v>
      </c>
      <c r="AF40" s="47" t="n">
        <f aca="false">IF(J40&lt;&gt;"Útil",0,IF(L40-M40&gt;Tolerancia+1/86400,L40-M40,0))</f>
        <v>0</v>
      </c>
      <c r="AG40" s="49" t="n">
        <f aca="false">IF(OR(A40="",D40=""),"",A40+D40)</f>
        <v>46325.3333333333</v>
      </c>
      <c r="AH40" s="49" t="n">
        <f aca="false">IF(A40="","",IF(AND(H40&lt;&gt;"",I40&lt;&gt;""),A40+I40+IF(I40&lt;D40,1,0),IF(AND(F40&lt;&gt;"",G40&lt;&gt;""),A40+G40+IF(G40&lt;D40,1,0),IF(AND(D40&lt;&gt;"",E40&lt;&gt;""),A40+E40+IF(E40&lt;D40,1,0),""))))</f>
        <v>46325.7</v>
      </c>
      <c r="AI40" s="47" t="n">
        <f aca="false">IF(AND(E40&lt;&gt;"",F40&lt;&gt;""),MOD(F40-E40,1),0)</f>
        <v>0.0416666666666667</v>
      </c>
      <c r="AJ40" s="48" t="str">
        <f aca="false">IF(A40="","",IF(OR(AND(D40&lt;&gt;"",E40=""),AND(D40="",E40&lt;&gt;""),AND(F40&lt;&gt;"",G40=""),AND(F40="",G40&lt;&gt;""),AND(H40&lt;&gt;"",I40=""),AND(H40="",I40&lt;&gt;"")),"Marcação incompleta; ","")&amp;IF(AND(J40="Útil",M40&gt;0,K40=0,C40="",A40&lt;=DataRef),"Sem marcações no dia; ","")&amp;IF(T40&gt;0,"Intervalo abaixo do mínimo; ","")&amp;IF(U40&gt;0,"Descanso entre jornadas menor que 11h; ","")&amp;IF(AF40&gt;2/24+1/86400,"Mais de 2h extras no dia (CLT, art. 59); ","")&amp;IF(C40="Falta injustificada","Falta injustificada: pode descontar o DSR da semana; ","")&amp;IF(AND(J40="Abonado",K40&gt;0),"Horas marcadas em dia abonado; ",""))</f>
        <v/>
      </c>
    </row>
    <row r="41" customFormat="false" ht="16.5" hidden="false" customHeight="true" outlineLevel="0" collapsed="false">
      <c r="A41" s="31" t="n">
        <f aca="false">IF(ROW()-10&lt;=DAY(FimMes),InicioMes+ROW()-11,"")</f>
        <v>46326</v>
      </c>
      <c r="B41" s="32" t="str">
        <f aca="false">IF(A41="","",CHOOSE(WEEKDAY(A41),"Dom","Seg","Ter","Qua","Qui","Sex","Sáb"))</f>
        <v>Sáb</v>
      </c>
      <c r="C41" s="41"/>
      <c r="D41" s="42"/>
      <c r="E41" s="42"/>
      <c r="F41" s="42"/>
      <c r="G41" s="42"/>
      <c r="H41" s="42"/>
      <c r="I41" s="42"/>
      <c r="J41" s="32" t="str">
        <f aca="false">IF(A41="","",IF(OR(C41="Folga (DSR)",C41="Feriado"),"Descanso",IF(OR(C41="Atestado / abonado",C41="Férias",C41="Compensação (banco)"),"Abonado",IF(C41="Trabalho em escala","Útil",AE41))))</f>
        <v>Útil</v>
      </c>
      <c r="K41" s="43" t="n">
        <f aca="false">IF(A41="",0,ROUND((X41+Y41+Z41-AD41)*1440,0)/1440)</f>
        <v>0</v>
      </c>
      <c r="L41" s="43" t="n">
        <f aca="false">IF(A41="",0,K41+IF(HoraReduzida="Sim",ROUND((AA41+AB41+AC41)/7*1440,0)/1440,0))</f>
        <v>0</v>
      </c>
      <c r="M41" s="43" t="n">
        <f aca="false">IF(OR(A41="",J41&lt;&gt;"Útil"),0,IF(C41="Trabalho em escala",$O$7,INDEX($M$6:$S$6,WEEKDAY(A41))))</f>
        <v>0</v>
      </c>
      <c r="N41" s="44" t="n">
        <f aca="false">MIN(AF41,LimiteHE1)</f>
        <v>0</v>
      </c>
      <c r="O41" s="44" t="n">
        <f aca="false">AF41-N41</f>
        <v>0</v>
      </c>
      <c r="P41" s="44" t="n">
        <f aca="false">IF(J41="Descanso",L41,0)</f>
        <v>0</v>
      </c>
      <c r="Q41" s="43" t="n">
        <f aca="false">IF(A41="",0,ROUND((AA41+AB41+AC41)*IF(HoraReduzida="Sim",8/7,1)*1440,0)/1440)</f>
        <v>0</v>
      </c>
      <c r="R41" s="43" t="n">
        <f aca="false">IF(J41="Descanso",Q41,MIN(Q41,AF41))</f>
        <v>0</v>
      </c>
      <c r="S41" s="45" t="n">
        <f aca="false">IF(OR(J41&lt;&gt;"Útil",AND(K41=0,C41="",A41&gt;DataRef)),0,IF(M41-L41&gt;Tolerancia+1/86400,M41-L41,0))</f>
        <v>0</v>
      </c>
      <c r="T41" s="43" t="n">
        <f aca="false">IF(OR($J$7&lt;&gt;"Sim",A41=""),0,IF(K41&gt;6/24+1/86400,IF(1/24-AI41&gt;TolIntervalo+1/86400,1/24-AI41,0),IF(K41&gt;4/24+1/86400,IF(15/1440-AI41&gt;TolIntervalo+1/86400,15/1440-AI41,0),0)))</f>
        <v>0</v>
      </c>
      <c r="U41" s="43" t="n">
        <f aca="false">IF(OR(AG41="",AH40=""),0,MAX(0,ROUND((11/24-(AG41-AH40))*1440,0)/1440))</f>
        <v>0</v>
      </c>
      <c r="V41" s="46" t="str">
        <f aca="false">IF(AJ41="","",LEFT(AJ41,LEN(AJ41)-2))</f>
        <v/>
      </c>
      <c r="X41" s="47" t="n">
        <f aca="false">IF(OR(D41="",E41=""),0,MOD(E41-D41,1))</f>
        <v>0</v>
      </c>
      <c r="Y41" s="47" t="n">
        <f aca="false">IF(OR(F41="",G41=""),0,MOD(G41-F41,1))</f>
        <v>0</v>
      </c>
      <c r="Z41" s="47" t="n">
        <f aca="false">IF(OR(H41="",I41=""),0,MOD(I41-H41,1))</f>
        <v>0</v>
      </c>
      <c r="AA41" s="47" t="n">
        <f aca="false">IF(X41=0,0,MAX(0,MIN(D41+X41,5/24)-D41)+MAX(0,MIN(D41+X41,29/24)-MAX(D41,22/24)))</f>
        <v>0</v>
      </c>
      <c r="AB41" s="47" t="n">
        <f aca="false">IF(Y41=0,0,MAX(0,MIN(F41+Y41,5/24)-F41)+MAX(0,MIN(F41+Y41,29/24)-MAX(F41,22/24)))</f>
        <v>0</v>
      </c>
      <c r="AC41" s="47" t="n">
        <f aca="false">IF(Z41=0,0,MAX(0,MIN(H41+Z41,5/24)-H41)+MAX(0,MIN(H41+Z41,29/24)-MAX(H41,22/24)))</f>
        <v>0</v>
      </c>
      <c r="AD41" s="47" t="n">
        <f aca="false">IF(AND($J$7="Não",F41="",H41="",X41&gt;6/24),$S$7,0)</f>
        <v>0</v>
      </c>
      <c r="AE41" s="48" t="str">
        <f aca="false">IF(A41="","",IF(OR(WEEKDAY(A41)=1,COUNTIF(Feriados,A41)&gt;0),"Descanso","Útil"))</f>
        <v>Útil</v>
      </c>
      <c r="AF41" s="47" t="n">
        <f aca="false">IF(J41&lt;&gt;"Útil",0,IF(L41-M41&gt;Tolerancia+1/86400,L41-M41,0))</f>
        <v>0</v>
      </c>
      <c r="AG41" s="49" t="str">
        <f aca="false">IF(OR(A41="",D41=""),"",A41+D41)</f>
        <v/>
      </c>
      <c r="AH41" s="49" t="str">
        <f aca="false">IF(A41="","",IF(AND(H41&lt;&gt;"",I41&lt;&gt;""),A41+I41+IF(I41&lt;D41,1,0),IF(AND(F41&lt;&gt;"",G41&lt;&gt;""),A41+G41+IF(G41&lt;D41,1,0),IF(AND(D41&lt;&gt;"",E41&lt;&gt;""),A41+E41+IF(E41&lt;D41,1,0),""))))</f>
        <v/>
      </c>
      <c r="AI41" s="47" t="n">
        <f aca="false">IF(AND(E41&lt;&gt;"",F41&lt;&gt;""),MOD(F41-E41,1),0)</f>
        <v>0</v>
      </c>
      <c r="AJ41" s="48" t="str">
        <f aca="false">IF(A41="","",IF(OR(AND(D41&lt;&gt;"",E41=""),AND(D41="",E41&lt;&gt;""),AND(F41&lt;&gt;"",G41=""),AND(F41="",G41&lt;&gt;""),AND(H41&lt;&gt;"",I41=""),AND(H41="",I41&lt;&gt;"")),"Marcação incompleta; ","")&amp;IF(AND(J41="Útil",M41&gt;0,K41=0,C41="",A41&lt;=DataRef),"Sem marcações no dia; ","")&amp;IF(T41&gt;0,"Intervalo abaixo do mínimo; ","")&amp;IF(U41&gt;0,"Descanso entre jornadas menor que 11h; ","")&amp;IF(AF41&gt;2/24+1/86400,"Mais de 2h extras no dia (CLT, art. 59); ","")&amp;IF(C41="Falta injustificada","Falta injustificada: pode descontar o DSR da semana; ","")&amp;IF(AND(J41="Abonado",K41&gt;0),"Horas marcadas em dia abonado; ",""))</f>
        <v/>
      </c>
    </row>
    <row r="42" customFormat="false" ht="21.75" hidden="false" customHeight="true" outlineLevel="0" collapsed="false">
      <c r="A42" s="50" t="s">
        <v>165</v>
      </c>
      <c r="B42" s="50"/>
      <c r="C42" s="50"/>
      <c r="D42" s="50"/>
      <c r="E42" s="50"/>
      <c r="F42" s="50"/>
      <c r="G42" s="50"/>
      <c r="H42" s="50"/>
      <c r="I42" s="50"/>
      <c r="J42" s="50"/>
      <c r="K42" s="51" t="n">
        <f aca="false">SUM(K11:K41)</f>
        <v>7.62916666666667</v>
      </c>
      <c r="L42" s="51" t="n">
        <f aca="false">SUM(L11:L41)</f>
        <v>7.63819444444445</v>
      </c>
      <c r="M42" s="51" t="n">
        <f aca="false">SUM(M11:M41)</f>
        <v>7.33333333333333</v>
      </c>
      <c r="N42" s="51" t="n">
        <f aca="false">SUM(N11:N41)</f>
        <v>0.341666666666667</v>
      </c>
      <c r="O42" s="51" t="n">
        <f aca="false">SUM(O11:O41)</f>
        <v>0.217361111111111</v>
      </c>
      <c r="P42" s="51" t="n">
        <f aca="false">SUM(P11:P41)</f>
        <v>0.166666666666667</v>
      </c>
      <c r="Q42" s="51" t="n">
        <f aca="false">SUM(Q11:Q41)</f>
        <v>0.0715277777777778</v>
      </c>
      <c r="R42" s="51" t="n">
        <f aca="false">SUM(R11:R41)</f>
        <v>0.0715277777777778</v>
      </c>
      <c r="S42" s="51" t="n">
        <f aca="false">SUM(S11:S41)</f>
        <v>0.425694444444444</v>
      </c>
      <c r="T42" s="51" t="n">
        <f aca="false">SUM(T11:T41)</f>
        <v>0.0208333333333333</v>
      </c>
      <c r="U42" s="51" t="n">
        <f aca="false">SUM(U11:U41)</f>
        <v>0.104166666666667</v>
      </c>
      <c r="V42" s="52" t="str">
        <f aca="false">COUNTIF(V11:V41,"?*")&amp;" dia(s) com alerta"</f>
        <v>5 dia(s) com alerta</v>
      </c>
    </row>
    <row r="45" customFormat="false" ht="16.15" hidden="false" customHeight="false" outlineLevel="0" collapsed="false">
      <c r="A45" s="53" t="s">
        <v>166</v>
      </c>
      <c r="B45" s="53"/>
      <c r="C45" s="53"/>
      <c r="D45" s="53"/>
      <c r="E45" s="53"/>
      <c r="F45" s="53"/>
      <c r="G45" s="53"/>
      <c r="H45" s="53"/>
    </row>
    <row r="46" customFormat="false" ht="15" hidden="false" customHeight="true" outlineLevel="0" collapsed="false">
      <c r="A46" s="54" t="s">
        <v>167</v>
      </c>
      <c r="B46" s="54"/>
      <c r="C46" s="54"/>
      <c r="D46" s="54" t="s">
        <v>137</v>
      </c>
      <c r="E46" s="54"/>
      <c r="F46" s="54" t="s">
        <v>52</v>
      </c>
      <c r="G46" s="54"/>
      <c r="H46" s="54" t="s">
        <v>168</v>
      </c>
      <c r="I46" s="54"/>
      <c r="J46" s="54" t="s">
        <v>169</v>
      </c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</row>
    <row r="47" customFormat="false" ht="25.5" hidden="false" customHeight="true" outlineLevel="0" collapsed="false">
      <c r="A47" s="8" t="str">
        <f aca="false">"Horas extras até "&amp;TEXT(LimiteHE1,"h:mm")&amp;"h/dia ("&amp;TEXT(PctHE1,"0%")&amp;")"</f>
        <v>Horas extras até 2:00h/dia (50%)</v>
      </c>
      <c r="B47" s="8"/>
      <c r="C47" s="8"/>
      <c r="D47" s="55" t="n">
        <f aca="false">N42</f>
        <v>0.341666666666667</v>
      </c>
      <c r="E47" s="55"/>
      <c r="F47" s="56" t="n">
        <f aca="false">$J$6*(1+PctHE1)</f>
        <v>16.3636363636364</v>
      </c>
      <c r="G47" s="56"/>
      <c r="H47" s="37" t="n">
        <f aca="false">ROUND(D47*24*F47,2)</f>
        <v>134.18</v>
      </c>
      <c r="I47" s="37"/>
      <c r="J47" s="57" t="s">
        <v>170</v>
      </c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</row>
    <row r="48" customFormat="false" ht="25.5" hidden="false" customHeight="true" outlineLevel="0" collapsed="false">
      <c r="A48" s="8" t="str">
        <f aca="false">"Horas extras acima de "&amp;TEXT(LimiteHE1,"h:mm")&amp;"h/dia ("&amp;TEXT(PctHE2,"0%")&amp;")"</f>
        <v>Horas extras acima de 2:00h/dia (50%)</v>
      </c>
      <c r="B48" s="8"/>
      <c r="C48" s="8"/>
      <c r="D48" s="55" t="n">
        <f aca="false">O42</f>
        <v>0.217361111111111</v>
      </c>
      <c r="E48" s="55"/>
      <c r="F48" s="56" t="n">
        <f aca="false">$J$6*(1+PctHE2)</f>
        <v>16.3636363636364</v>
      </c>
      <c r="G48" s="56"/>
      <c r="H48" s="37" t="n">
        <f aca="false">ROUND(D48*24*F48,2)</f>
        <v>85.36</v>
      </c>
      <c r="I48" s="37"/>
      <c r="J48" s="57" t="s">
        <v>171</v>
      </c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</row>
    <row r="49" customFormat="false" ht="25.5" hidden="false" customHeight="true" outlineLevel="0" collapsed="false">
      <c r="A49" s="8" t="str">
        <f aca="false">"Horas em domingo e feriado ("&amp;TEXT(PctHE100,"0%")&amp;")"</f>
        <v>Horas em domingo e feriado (100%)</v>
      </c>
      <c r="B49" s="8"/>
      <c r="C49" s="8"/>
      <c r="D49" s="55" t="n">
        <f aca="false">P42</f>
        <v>0.166666666666667</v>
      </c>
      <c r="E49" s="55"/>
      <c r="F49" s="56" t="n">
        <f aca="false">$J$6*(1+PctHE100)</f>
        <v>21.8181818181818</v>
      </c>
      <c r="G49" s="56"/>
      <c r="H49" s="37" t="n">
        <f aca="false">ROUND(D49*24*F49,2)</f>
        <v>87.27</v>
      </c>
      <c r="I49" s="37"/>
      <c r="J49" s="57" t="s">
        <v>172</v>
      </c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</row>
    <row r="50" customFormat="false" ht="25.5" hidden="false" customHeight="true" outlineLevel="0" collapsed="false">
      <c r="A50" s="8" t="str">
        <f aca="false">"Adicional noturno ("&amp;TEXT(PctNot,"0%")&amp;")"</f>
        <v>Adicional noturno (20%)</v>
      </c>
      <c r="B50" s="8"/>
      <c r="C50" s="8"/>
      <c r="D50" s="55" t="n">
        <f aca="false">Q42</f>
        <v>0.0715277777777778</v>
      </c>
      <c r="E50" s="55"/>
      <c r="F50" s="56" t="n">
        <f aca="false">$J$6*PctNot</f>
        <v>2.18181818181818</v>
      </c>
      <c r="G50" s="56"/>
      <c r="H50" s="37" t="n">
        <f aca="false">ROUND(D50*24*F50,2)</f>
        <v>3.75</v>
      </c>
      <c r="I50" s="37"/>
      <c r="J50" s="57" t="s">
        <v>173</v>
      </c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</row>
    <row r="51" customFormat="false" ht="25.5" hidden="false" customHeight="true" outlineLevel="0" collapsed="false">
      <c r="A51" s="8" t="s">
        <v>174</v>
      </c>
      <c r="B51" s="8"/>
      <c r="C51" s="8"/>
      <c r="D51" s="55" t="n">
        <f aca="false">R42</f>
        <v>0.0715277777777778</v>
      </c>
      <c r="E51" s="55"/>
      <c r="F51" s="56"/>
      <c r="G51" s="56"/>
      <c r="H51" s="37" t="n">
        <f aca="false">ROUND(24*$J$6*PctNot*(SUMIFS(R11:R41,J11:J41,"Útil")*PctHE1+SUMIFS(R11:R41,J11:J41,"Descanso")*PctHE100),2)</f>
        <v>1.87</v>
      </c>
      <c r="I51" s="37"/>
      <c r="J51" s="57" t="s">
        <v>175</v>
      </c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</row>
    <row r="52" customFormat="false" ht="25.5" hidden="false" customHeight="true" outlineLevel="0" collapsed="false">
      <c r="A52" s="58" t="s">
        <v>176</v>
      </c>
      <c r="B52" s="58"/>
      <c r="C52" s="58"/>
      <c r="D52" s="59"/>
      <c r="E52" s="59"/>
      <c r="F52" s="60"/>
      <c r="G52" s="60"/>
      <c r="H52" s="60" t="n">
        <f aca="false">SUM(H47:H51)</f>
        <v>312.43</v>
      </c>
      <c r="I52" s="60"/>
      <c r="J52" s="61" t="s">
        <v>177</v>
      </c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</row>
    <row r="53" customFormat="false" ht="25.5" hidden="false" customHeight="true" outlineLevel="0" collapsed="false">
      <c r="A53" s="8" t="s">
        <v>178</v>
      </c>
      <c r="B53" s="8"/>
      <c r="C53" s="8"/>
      <c r="D53" s="55"/>
      <c r="E53" s="55"/>
      <c r="F53" s="56"/>
      <c r="G53" s="56"/>
      <c r="H53" s="37" t="n">
        <f aca="false">IF(DiasUteis=0,0,ROUND(H52/DiasUteis*DiasDescanso,2))</f>
        <v>60.08</v>
      </c>
      <c r="I53" s="37"/>
      <c r="J53" s="57" t="str">
        <f aca="false">"Subtotal ÷ "&amp;DiasUteis&amp;" dias úteis × "&amp;DiasDescanso&amp;" domingos e feriados do mês (Súmula 172 do TST; Lei 605/49). Vale para horas extras habituais."</f>
        <v>Subtotal ÷ 26 dias úteis × 5 domingos e feriados do mês (Súmula 172 do TST; Lei 605/49). Vale para horas extras habituais.</v>
      </c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</row>
    <row r="54" customFormat="false" ht="25.5" hidden="false" customHeight="true" outlineLevel="0" collapsed="false">
      <c r="A54" s="8" t="str">
        <f aca="false">"Intervalo de almoço suprimido ("&amp;TEXT(PctIntervalo,"0%")&amp;")"</f>
        <v>Intervalo de almoço suprimido (50%)</v>
      </c>
      <c r="B54" s="8"/>
      <c r="C54" s="8"/>
      <c r="D54" s="55" t="n">
        <f aca="false">T42</f>
        <v>0.0208333333333333</v>
      </c>
      <c r="E54" s="55"/>
      <c r="F54" s="56" t="n">
        <f aca="false">$J$6*(1+PctIntervalo)</f>
        <v>16.3636363636364</v>
      </c>
      <c r="G54" s="56"/>
      <c r="H54" s="37" t="n">
        <f aca="false">ROUND(D54*24*F54,2)</f>
        <v>8.18</v>
      </c>
      <c r="I54" s="37"/>
      <c r="J54" s="57" t="s">
        <v>179</v>
      </c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</row>
    <row r="55" customFormat="false" ht="25.5" hidden="false" customHeight="true" outlineLevel="0" collapsed="false">
      <c r="A55" s="8" t="str">
        <f aca="false">"Descanso entre jornadas suprimido ("&amp;TEXT(PctInterjornada,"0%")&amp;")"</f>
        <v>Descanso entre jornadas suprimido (50%)</v>
      </c>
      <c r="B55" s="8"/>
      <c r="C55" s="8"/>
      <c r="D55" s="55" t="n">
        <f aca="false">U42</f>
        <v>0.104166666666667</v>
      </c>
      <c r="E55" s="55"/>
      <c r="F55" s="56" t="n">
        <f aca="false">$J$6*(1+PctInterjornada)</f>
        <v>16.3636363636364</v>
      </c>
      <c r="G55" s="56"/>
      <c r="H55" s="37" t="n">
        <f aca="false">ROUND(D55*24*F55,2)</f>
        <v>40.91</v>
      </c>
      <c r="I55" s="37"/>
      <c r="J55" s="57" t="s">
        <v>180</v>
      </c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</row>
    <row r="56" customFormat="false" ht="25.5" hidden="false" customHeight="true" outlineLevel="0" collapsed="false">
      <c r="A56" s="62" t="s">
        <v>181</v>
      </c>
      <c r="B56" s="62"/>
      <c r="C56" s="62"/>
      <c r="D56" s="59"/>
      <c r="E56" s="59"/>
      <c r="F56" s="60"/>
      <c r="G56" s="60"/>
      <c r="H56" s="63" t="n">
        <f aca="false">H52+SUM(H53:H55)</f>
        <v>421.6</v>
      </c>
      <c r="I56" s="63"/>
      <c r="J56" s="61" t="s">
        <v>182</v>
      </c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</row>
    <row r="58" customFormat="false" ht="25.5" hidden="false" customHeight="true" outlineLevel="0" collapsed="false">
      <c r="A58" s="8" t="s">
        <v>183</v>
      </c>
      <c r="B58" s="8"/>
      <c r="C58" s="8"/>
      <c r="D58" s="55" t="n">
        <f aca="false">S42</f>
        <v>0.425694444444444</v>
      </c>
      <c r="E58" s="55"/>
      <c r="F58" s="56" t="n">
        <f aca="false">$J$6</f>
        <v>10.9090909090909</v>
      </c>
      <c r="G58" s="56"/>
      <c r="H58" s="37" t="n">
        <f aca="false">ROUND(D58*24*F58,2)</f>
        <v>111.45</v>
      </c>
      <c r="I58" s="37"/>
      <c r="J58" s="57" t="s">
        <v>184</v>
      </c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</row>
    <row r="59" customFormat="false" ht="25.5" hidden="false" customHeight="true" outlineLevel="0" collapsed="false">
      <c r="A59" s="8" t="s">
        <v>185</v>
      </c>
      <c r="B59" s="8"/>
      <c r="C59" s="8"/>
      <c r="D59" s="26" t="n">
        <f aca="false">COUNTIF(C11:C41,"Falta injustificada")</f>
        <v>1</v>
      </c>
      <c r="E59" s="26"/>
      <c r="F59" s="56"/>
      <c r="G59" s="56"/>
      <c r="H59" s="37"/>
      <c r="I59" s="37"/>
      <c r="J59" s="57" t="s">
        <v>186</v>
      </c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</row>
    <row r="61" customFormat="false" ht="18" hidden="false" customHeight="true" outlineLevel="0" collapsed="false">
      <c r="A61" s="12" t="s">
        <v>187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</row>
    <row r="62" customFormat="false" ht="15" hidden="false" customHeight="false" outlineLevel="0" collapsed="false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</row>
  </sheetData>
  <mergeCells count="79">
    <mergeCell ref="A1:V1"/>
    <mergeCell ref="A2:V2"/>
    <mergeCell ref="C4:F4"/>
    <mergeCell ref="C5:F5"/>
    <mergeCell ref="C6:F6"/>
    <mergeCell ref="C7:F7"/>
    <mergeCell ref="A9:C9"/>
    <mergeCell ref="D9:I9"/>
    <mergeCell ref="J9:M9"/>
    <mergeCell ref="N9:R9"/>
    <mergeCell ref="S9:U9"/>
    <mergeCell ref="A42:J42"/>
    <mergeCell ref="A45:H45"/>
    <mergeCell ref="A46:C46"/>
    <mergeCell ref="D46:E46"/>
    <mergeCell ref="F46:G46"/>
    <mergeCell ref="H46:I46"/>
    <mergeCell ref="J46:V46"/>
    <mergeCell ref="A47:C47"/>
    <mergeCell ref="D47:E47"/>
    <mergeCell ref="F47:G47"/>
    <mergeCell ref="H47:I47"/>
    <mergeCell ref="J47:V47"/>
    <mergeCell ref="A48:C48"/>
    <mergeCell ref="D48:E48"/>
    <mergeCell ref="F48:G48"/>
    <mergeCell ref="H48:I48"/>
    <mergeCell ref="J48:V48"/>
    <mergeCell ref="A49:C49"/>
    <mergeCell ref="D49:E49"/>
    <mergeCell ref="F49:G49"/>
    <mergeCell ref="H49:I49"/>
    <mergeCell ref="J49:V49"/>
    <mergeCell ref="A50:C50"/>
    <mergeCell ref="D50:E50"/>
    <mergeCell ref="F50:G50"/>
    <mergeCell ref="H50:I50"/>
    <mergeCell ref="J50:V50"/>
    <mergeCell ref="A51:C51"/>
    <mergeCell ref="D51:E51"/>
    <mergeCell ref="F51:G51"/>
    <mergeCell ref="H51:I51"/>
    <mergeCell ref="J51:V51"/>
    <mergeCell ref="A52:C52"/>
    <mergeCell ref="D52:E52"/>
    <mergeCell ref="F52:G52"/>
    <mergeCell ref="H52:I52"/>
    <mergeCell ref="J52:V52"/>
    <mergeCell ref="A53:C53"/>
    <mergeCell ref="D53:E53"/>
    <mergeCell ref="F53:G53"/>
    <mergeCell ref="H53:I53"/>
    <mergeCell ref="J53:V53"/>
    <mergeCell ref="A54:C54"/>
    <mergeCell ref="D54:E54"/>
    <mergeCell ref="F54:G54"/>
    <mergeCell ref="H54:I54"/>
    <mergeCell ref="J54:V54"/>
    <mergeCell ref="A55:C55"/>
    <mergeCell ref="D55:E55"/>
    <mergeCell ref="F55:G55"/>
    <mergeCell ref="H55:I55"/>
    <mergeCell ref="J55:V55"/>
    <mergeCell ref="A56:C56"/>
    <mergeCell ref="D56:E56"/>
    <mergeCell ref="F56:G56"/>
    <mergeCell ref="H56:I56"/>
    <mergeCell ref="J56:V56"/>
    <mergeCell ref="A58:C58"/>
    <mergeCell ref="D58:E58"/>
    <mergeCell ref="F58:G58"/>
    <mergeCell ref="H58:I58"/>
    <mergeCell ref="J58:V58"/>
    <mergeCell ref="A59:C59"/>
    <mergeCell ref="D59:E59"/>
    <mergeCell ref="F59:G59"/>
    <mergeCell ref="H59:I59"/>
    <mergeCell ref="J59:V59"/>
    <mergeCell ref="A61:V62"/>
  </mergeCells>
  <conditionalFormatting sqref="A11:B41">
    <cfRule type="expression" priority="2" aboveAverage="0" equalAverage="0" bottom="0" percent="0" rank="0" text="" dxfId="0">
      <formula>$J11="Descanso"</formula>
    </cfRule>
    <cfRule type="expression" priority="3" aboveAverage="0" equalAverage="0" bottom="0" percent="0" rank="0" text="" dxfId="1">
      <formula>$J11="Abonado"</formula>
    </cfRule>
  </conditionalFormatting>
  <conditionalFormatting sqref="J11:U41">
    <cfRule type="expression" priority="4" aboveAverage="0" equalAverage="0" bottom="0" percent="0" rank="0" text="" dxfId="0">
      <formula>$J11="Descanso"</formula>
    </cfRule>
    <cfRule type="expression" priority="5" aboveAverage="0" equalAverage="0" bottom="0" percent="0" rank="0" text="" dxfId="1">
      <formula>$J11="Abonado"</formula>
    </cfRule>
  </conditionalFormatting>
  <conditionalFormatting sqref="V11:V41">
    <cfRule type="expression" priority="6" aboveAverage="0" equalAverage="0" bottom="0" percent="0" rank="0" text="" dxfId="2">
      <formula>$V11&lt;&gt;""</formula>
    </cfRule>
  </conditionalFormatting>
  <dataValidations count="3">
    <dataValidation allowBlank="true" error="Escolha uma opção da lista." errorStyle="stop" errorTitle="Opção inválida" operator="between" showDropDown="false" showErrorMessage="true" showInputMessage="false" sqref="J7" type="list">
      <formula1>"Sim,Não"</formula1>
      <formula2>0</formula2>
    </dataValidation>
    <dataValidation allowBlank="true" error="Digite o horário no formato 08:00 (horas:minutos)." errorStyle="stop" errorTitle="Horário inválido" operator="between" showDropDown="false" showErrorMessage="true" showInputMessage="false" sqref="M6:S6 O7 S7 D11:I41" type="time">
      <formula1>0</formula1>
      <formula2>0.999988426</formula2>
    </dataValidation>
    <dataValidation allowBlank="true" error="Escolha uma opção da lista." errorStyle="stop" errorTitle="Opção inválida" operator="between" showDropDown="false" showErrorMessage="true" showInputMessage="false" sqref="C11:C41" type="list">
      <formula1>"Falta injustificada,Atestado / abonado,Férias,Folga (DSR),Feriado,Compensação (banco),Trabalho em escala"</formula1>
      <formula2>0</formula2>
    </dataValidation>
  </dataValidations>
  <printOptions headings="false" gridLines="false" gridLinesSet="true" horizontalCentered="false" verticalCentered="false"/>
  <pageMargins left="0.3" right="0.3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5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3"/>
    <col collapsed="false" customWidth="true" hidden="false" outlineLevel="0" max="3" min="3" style="0" width="12"/>
    <col collapsed="false" customWidth="true" hidden="false" outlineLevel="0" max="4" min="4" style="0" width="9"/>
    <col collapsed="false" customWidth="true" hidden="false" outlineLevel="0" max="5" min="5" style="0" width="8"/>
    <col collapsed="false" customWidth="true" hidden="false" outlineLevel="0" max="6" min="6" style="0" width="11"/>
    <col collapsed="false" customWidth="true" hidden="false" outlineLevel="0" max="11" min="7" style="0" width="10"/>
    <col collapsed="false" customWidth="true" hidden="false" outlineLevel="0" max="12" min="12" style="0" width="14"/>
    <col collapsed="false" customWidth="true" hidden="false" outlineLevel="0" max="13" min="13" style="0" width="13"/>
    <col collapsed="false" customWidth="true" hidden="false" outlineLevel="0" max="14" min="14" style="0" width="12"/>
    <col collapsed="false" customWidth="true" hidden="false" outlineLevel="0" max="15" min="15" style="0" width="14"/>
  </cols>
  <sheetData>
    <row r="1" customFormat="false" ht="19.7" hidden="false" customHeight="false" outlineLevel="0" collapsed="false">
      <c r="A1" s="64" t="s">
        <v>188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</row>
    <row r="2" customFormat="false" ht="30" hidden="false" customHeight="true" outlineLevel="0" collapsed="false">
      <c r="A2" s="65" t="str">
        <f aca="false">"Já tem o total de horas de cada pessoa (do relógio, do sistema ou dos cartões)? Lance aqui e veja quanto pagar. Mês: "&amp;TEXT(Mes,"00")&amp;"/"&amp;Ano&amp;" · "&amp;DiasUteis&amp;" dias úteis · "&amp;DiasDescanso&amp;" domingos e feriados"</f>
        <v>Já tem o total de horas de cada pessoa (do relógio, do sistema ou dos cartões)? Lance aqui e veja quanto pagar. Mês: 10/2026 · 26 dias úteis · 5 domingos e feriados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</row>
    <row r="3" customFormat="false" ht="15" hidden="false" customHeight="true" outlineLevel="0" collapsed="false">
      <c r="A3" s="38" t="s">
        <v>189</v>
      </c>
      <c r="B3" s="38"/>
      <c r="C3" s="38"/>
      <c r="D3" s="38"/>
      <c r="E3" s="38"/>
      <c r="F3" s="38"/>
      <c r="G3" s="38" t="s">
        <v>190</v>
      </c>
      <c r="H3" s="38"/>
      <c r="I3" s="38"/>
      <c r="J3" s="38"/>
      <c r="K3" s="38"/>
      <c r="L3" s="38" t="s">
        <v>191</v>
      </c>
      <c r="M3" s="38"/>
      <c r="N3" s="38"/>
      <c r="O3" s="38"/>
    </row>
    <row r="4" customFormat="false" ht="36" hidden="false" customHeight="true" outlineLevel="0" collapsed="false">
      <c r="A4" s="40" t="s">
        <v>122</v>
      </c>
      <c r="B4" s="40" t="s">
        <v>192</v>
      </c>
      <c r="C4" s="40" t="s">
        <v>193</v>
      </c>
      <c r="D4" s="40" t="s">
        <v>194</v>
      </c>
      <c r="E4" s="40" t="s">
        <v>128</v>
      </c>
      <c r="F4" s="40" t="s">
        <v>52</v>
      </c>
      <c r="G4" s="40" t="str">
        <f aca="false">"HE até "&amp;TEXT(LimiteHE1,"h:mm")&amp;"h ("&amp;TEXT(PctHE1,"0%")&amp;")"</f>
        <v>HE até 2:00h (50%)</v>
      </c>
      <c r="H4" s="40" t="str">
        <f aca="false">"HE acima ("&amp;TEXT(PctHE2,"0%")&amp;")"</f>
        <v>HE acima (50%)</v>
      </c>
      <c r="I4" s="40" t="str">
        <f aca="false">"HE dom./feriado ("&amp;TEXT(PctHE100,"0%")&amp;")"</f>
        <v>HE dom./feriado (100%)</v>
      </c>
      <c r="J4" s="40" t="s">
        <v>157</v>
      </c>
      <c r="K4" s="40" t="s">
        <v>158</v>
      </c>
      <c r="L4" s="40" t="s">
        <v>195</v>
      </c>
      <c r="M4" s="40" t="s">
        <v>42</v>
      </c>
      <c r="N4" s="40" t="s">
        <v>46</v>
      </c>
      <c r="O4" s="40" t="s">
        <v>196</v>
      </c>
    </row>
    <row r="5" customFormat="false" ht="15" hidden="false" customHeight="false" outlineLevel="0" collapsed="false">
      <c r="A5" s="41" t="s">
        <v>123</v>
      </c>
      <c r="B5" s="66" t="n">
        <v>2400</v>
      </c>
      <c r="C5" s="66" t="n">
        <v>0</v>
      </c>
      <c r="D5" s="67" t="n">
        <v>44</v>
      </c>
      <c r="E5" s="68" t="n">
        <f aca="false">IF(D5="","",D5*5)</f>
        <v>220</v>
      </c>
      <c r="F5" s="69" t="n">
        <f aca="false">IF(OR(A5="",B5="",E5=""),"",(B5+N(C5))/E5)</f>
        <v>10.9090909090909</v>
      </c>
      <c r="G5" s="70" t="n">
        <v>0.270833333333333</v>
      </c>
      <c r="H5" s="70" t="n">
        <v>0.0416666666666667</v>
      </c>
      <c r="I5" s="70" t="n">
        <v>0.166666666666667</v>
      </c>
      <c r="J5" s="70" t="n">
        <v>0.0479166666666667</v>
      </c>
      <c r="K5" s="70" t="n">
        <v>0.0479166666666667</v>
      </c>
      <c r="L5" s="69" t="n">
        <f aca="false">IF(F5="","",ROUND(24*F5*(N(G5)*(1+PctHE1)+N(H5)*(1+PctHE2)+N(I5)*(1+PctHE100)),2))</f>
        <v>210</v>
      </c>
      <c r="M5" s="69" t="n">
        <f aca="false">IF(F5="","",ROUND(24*F5*PctNot*(N(J5)+N(K5)*PctHE1),2))</f>
        <v>3.76</v>
      </c>
      <c r="N5" s="69" t="n">
        <f aca="false">IF(OR(F5="",DiasUteis=0),"",ROUND((L5+M5)/DiasUteis*DiasDescanso,2))</f>
        <v>41.11</v>
      </c>
      <c r="O5" s="71" t="n">
        <f aca="false">IF(F5="","",L5+M5+N5)</f>
        <v>254.87</v>
      </c>
    </row>
    <row r="6" customFormat="false" ht="15" hidden="false" customHeight="false" outlineLevel="0" collapsed="false">
      <c r="A6" s="41" t="s">
        <v>197</v>
      </c>
      <c r="B6" s="66" t="n">
        <v>3100</v>
      </c>
      <c r="C6" s="66" t="n">
        <v>930</v>
      </c>
      <c r="D6" s="67" t="n">
        <v>44</v>
      </c>
      <c r="E6" s="68" t="n">
        <f aca="false">IF(D6="","",D6*5)</f>
        <v>220</v>
      </c>
      <c r="F6" s="69" t="n">
        <f aca="false">IF(OR(A6="",B6="",E6=""),"",(B6+N(C6))/E6)</f>
        <v>18.3181818181818</v>
      </c>
      <c r="G6" s="70" t="n">
        <v>0.5</v>
      </c>
      <c r="H6" s="70" t="n">
        <v>0.0833333333333333</v>
      </c>
      <c r="I6" s="70"/>
      <c r="J6" s="70"/>
      <c r="K6" s="70"/>
      <c r="L6" s="69" t="n">
        <f aca="false">IF(F6="","",ROUND(24*F6*(N(G6)*(1+PctHE1)+N(H6)*(1+PctHE2)+N(I6)*(1+PctHE100)),2))</f>
        <v>384.68</v>
      </c>
      <c r="M6" s="69" t="n">
        <f aca="false">IF(F6="","",ROUND(24*F6*PctNot*(N(J6)+N(K6)*PctHE1),2))</f>
        <v>0</v>
      </c>
      <c r="N6" s="69" t="n">
        <f aca="false">IF(OR(F6="",DiasUteis=0),"",ROUND((L6+M6)/DiasUteis*DiasDescanso,2))</f>
        <v>73.98</v>
      </c>
      <c r="O6" s="71" t="n">
        <f aca="false">IF(F6="","",L6+M6+N6)</f>
        <v>458.66</v>
      </c>
    </row>
    <row r="7" customFormat="false" ht="15" hidden="false" customHeight="false" outlineLevel="0" collapsed="false">
      <c r="A7" s="41" t="s">
        <v>198</v>
      </c>
      <c r="B7" s="66" t="n">
        <v>2200</v>
      </c>
      <c r="C7" s="66" t="n">
        <v>0</v>
      </c>
      <c r="D7" s="67" t="n">
        <v>36</v>
      </c>
      <c r="E7" s="68" t="n">
        <f aca="false">IF(D7="","",D7*5)</f>
        <v>180</v>
      </c>
      <c r="F7" s="69" t="n">
        <f aca="false">IF(OR(A7="",B7="",E7=""),"",(B7+N(C7))/E7)</f>
        <v>12.2222222222222</v>
      </c>
      <c r="G7" s="70" t="n">
        <v>0.166666666666667</v>
      </c>
      <c r="H7" s="70"/>
      <c r="I7" s="70" t="n">
        <v>0.5</v>
      </c>
      <c r="J7" s="70" t="n">
        <v>1.33333333333333</v>
      </c>
      <c r="K7" s="70"/>
      <c r="L7" s="69" t="n">
        <f aca="false">IF(F7="","",ROUND(24*F7*(N(G7)*(1+PctHE1)+N(H7)*(1+PctHE2)+N(I7)*(1+PctHE100)),2))</f>
        <v>366.67</v>
      </c>
      <c r="M7" s="69" t="n">
        <f aca="false">IF(F7="","",ROUND(24*F7*PctNot*(N(J7)+N(K7)*PctHE1),2))</f>
        <v>78.22</v>
      </c>
      <c r="N7" s="69" t="n">
        <f aca="false">IF(OR(F7="",DiasUteis=0),"",ROUND((L7+M7)/DiasUteis*DiasDescanso,2))</f>
        <v>85.56</v>
      </c>
      <c r="O7" s="71" t="n">
        <f aca="false">IF(F7="","",L7+M7+N7)</f>
        <v>530.45</v>
      </c>
    </row>
    <row r="8" customFormat="false" ht="15" hidden="false" customHeight="false" outlineLevel="0" collapsed="false">
      <c r="A8" s="41"/>
      <c r="B8" s="66"/>
      <c r="C8" s="66"/>
      <c r="D8" s="67"/>
      <c r="E8" s="68" t="str">
        <f aca="false">IF(D8="","",D8*5)</f>
        <v/>
      </c>
      <c r="F8" s="69" t="str">
        <f aca="false">IF(OR(A8="",B8="",E8=""),"",(B8+N(C8))/E8)</f>
        <v/>
      </c>
      <c r="G8" s="70"/>
      <c r="H8" s="70"/>
      <c r="I8" s="70"/>
      <c r="J8" s="70"/>
      <c r="K8" s="70"/>
      <c r="L8" s="69" t="str">
        <f aca="false">IF(F8="","",ROUND(24*F8*(N(G8)*(1+PctHE1)+N(H8)*(1+PctHE2)+N(I8)*(1+PctHE100)),2))</f>
        <v/>
      </c>
      <c r="M8" s="69" t="str">
        <f aca="false">IF(F8="","",ROUND(24*F8*PctNot*(N(J8)+N(K8)*PctHE1),2))</f>
        <v/>
      </c>
      <c r="N8" s="69" t="str">
        <f aca="false">IF(OR(F8="",DiasUteis=0),"",ROUND((L8+M8)/DiasUteis*DiasDescanso,2))</f>
        <v/>
      </c>
      <c r="O8" s="71" t="str">
        <f aca="false">IF(F8="","",L8+M8+N8)</f>
        <v/>
      </c>
    </row>
    <row r="9" customFormat="false" ht="15" hidden="false" customHeight="false" outlineLevel="0" collapsed="false">
      <c r="A9" s="41"/>
      <c r="B9" s="66"/>
      <c r="C9" s="66"/>
      <c r="D9" s="67"/>
      <c r="E9" s="68" t="str">
        <f aca="false">IF(D9="","",D9*5)</f>
        <v/>
      </c>
      <c r="F9" s="69" t="str">
        <f aca="false">IF(OR(A9="",B9="",E9=""),"",(B9+N(C9))/E9)</f>
        <v/>
      </c>
      <c r="G9" s="70"/>
      <c r="H9" s="70"/>
      <c r="I9" s="70"/>
      <c r="J9" s="70"/>
      <c r="K9" s="70"/>
      <c r="L9" s="69" t="str">
        <f aca="false">IF(F9="","",ROUND(24*F9*(N(G9)*(1+PctHE1)+N(H9)*(1+PctHE2)+N(I9)*(1+PctHE100)),2))</f>
        <v/>
      </c>
      <c r="M9" s="69" t="str">
        <f aca="false">IF(F9="","",ROUND(24*F9*PctNot*(N(J9)+N(K9)*PctHE1),2))</f>
        <v/>
      </c>
      <c r="N9" s="69" t="str">
        <f aca="false">IF(OR(F9="",DiasUteis=0),"",ROUND((L9+M9)/DiasUteis*DiasDescanso,2))</f>
        <v/>
      </c>
      <c r="O9" s="71" t="str">
        <f aca="false">IF(F9="","",L9+M9+N9)</f>
        <v/>
      </c>
    </row>
    <row r="10" customFormat="false" ht="15" hidden="false" customHeight="false" outlineLevel="0" collapsed="false">
      <c r="A10" s="41"/>
      <c r="B10" s="66"/>
      <c r="C10" s="66"/>
      <c r="D10" s="67"/>
      <c r="E10" s="68" t="str">
        <f aca="false">IF(D10="","",D10*5)</f>
        <v/>
      </c>
      <c r="F10" s="69" t="str">
        <f aca="false">IF(OR(A10="",B10="",E10=""),"",(B10+N(C10))/E10)</f>
        <v/>
      </c>
      <c r="G10" s="70"/>
      <c r="H10" s="70"/>
      <c r="I10" s="70"/>
      <c r="J10" s="70"/>
      <c r="K10" s="70"/>
      <c r="L10" s="69" t="str">
        <f aca="false">IF(F10="","",ROUND(24*F10*(N(G10)*(1+PctHE1)+N(H10)*(1+PctHE2)+N(I10)*(1+PctHE100)),2))</f>
        <v/>
      </c>
      <c r="M10" s="69" t="str">
        <f aca="false">IF(F10="","",ROUND(24*F10*PctNot*(N(J10)+N(K10)*PctHE1),2))</f>
        <v/>
      </c>
      <c r="N10" s="69" t="str">
        <f aca="false">IF(OR(F10="",DiasUteis=0),"",ROUND((L10+M10)/DiasUteis*DiasDescanso,2))</f>
        <v/>
      </c>
      <c r="O10" s="71" t="str">
        <f aca="false">IF(F10="","",L10+M10+N10)</f>
        <v/>
      </c>
    </row>
    <row r="11" customFormat="false" ht="15" hidden="false" customHeight="false" outlineLevel="0" collapsed="false">
      <c r="A11" s="41"/>
      <c r="B11" s="66"/>
      <c r="C11" s="66"/>
      <c r="D11" s="67"/>
      <c r="E11" s="68" t="str">
        <f aca="false">IF(D11="","",D11*5)</f>
        <v/>
      </c>
      <c r="F11" s="69" t="str">
        <f aca="false">IF(OR(A11="",B11="",E11=""),"",(B11+N(C11))/E11)</f>
        <v/>
      </c>
      <c r="G11" s="70"/>
      <c r="H11" s="70"/>
      <c r="I11" s="70"/>
      <c r="J11" s="70"/>
      <c r="K11" s="70"/>
      <c r="L11" s="69" t="str">
        <f aca="false">IF(F11="","",ROUND(24*F11*(N(G11)*(1+PctHE1)+N(H11)*(1+PctHE2)+N(I11)*(1+PctHE100)),2))</f>
        <v/>
      </c>
      <c r="M11" s="69" t="str">
        <f aca="false">IF(F11="","",ROUND(24*F11*PctNot*(N(J11)+N(K11)*PctHE1),2))</f>
        <v/>
      </c>
      <c r="N11" s="69" t="str">
        <f aca="false">IF(OR(F11="",DiasUteis=0),"",ROUND((L11+M11)/DiasUteis*DiasDescanso,2))</f>
        <v/>
      </c>
      <c r="O11" s="71" t="str">
        <f aca="false">IF(F11="","",L11+M11+N11)</f>
        <v/>
      </c>
    </row>
    <row r="12" customFormat="false" ht="15" hidden="false" customHeight="false" outlineLevel="0" collapsed="false">
      <c r="A12" s="41"/>
      <c r="B12" s="66"/>
      <c r="C12" s="66"/>
      <c r="D12" s="67"/>
      <c r="E12" s="68" t="str">
        <f aca="false">IF(D12="","",D12*5)</f>
        <v/>
      </c>
      <c r="F12" s="69" t="str">
        <f aca="false">IF(OR(A12="",B12="",E12=""),"",(B12+N(C12))/E12)</f>
        <v/>
      </c>
      <c r="G12" s="70"/>
      <c r="H12" s="70"/>
      <c r="I12" s="70"/>
      <c r="J12" s="70"/>
      <c r="K12" s="70"/>
      <c r="L12" s="69" t="str">
        <f aca="false">IF(F12="","",ROUND(24*F12*(N(G12)*(1+PctHE1)+N(H12)*(1+PctHE2)+N(I12)*(1+PctHE100)),2))</f>
        <v/>
      </c>
      <c r="M12" s="69" t="str">
        <f aca="false">IF(F12="","",ROUND(24*F12*PctNot*(N(J12)+N(K12)*PctHE1),2))</f>
        <v/>
      </c>
      <c r="N12" s="69" t="str">
        <f aca="false">IF(OR(F12="",DiasUteis=0),"",ROUND((L12+M12)/DiasUteis*DiasDescanso,2))</f>
        <v/>
      </c>
      <c r="O12" s="71" t="str">
        <f aca="false">IF(F12="","",L12+M12+N12)</f>
        <v/>
      </c>
    </row>
    <row r="13" customFormat="false" ht="15" hidden="false" customHeight="false" outlineLevel="0" collapsed="false">
      <c r="A13" s="41"/>
      <c r="B13" s="66"/>
      <c r="C13" s="66"/>
      <c r="D13" s="67"/>
      <c r="E13" s="68" t="str">
        <f aca="false">IF(D13="","",D13*5)</f>
        <v/>
      </c>
      <c r="F13" s="69" t="str">
        <f aca="false">IF(OR(A13="",B13="",E13=""),"",(B13+N(C13))/E13)</f>
        <v/>
      </c>
      <c r="G13" s="70"/>
      <c r="H13" s="70"/>
      <c r="I13" s="70"/>
      <c r="J13" s="70"/>
      <c r="K13" s="70"/>
      <c r="L13" s="69" t="str">
        <f aca="false">IF(F13="","",ROUND(24*F13*(N(G13)*(1+PctHE1)+N(H13)*(1+PctHE2)+N(I13)*(1+PctHE100)),2))</f>
        <v/>
      </c>
      <c r="M13" s="69" t="str">
        <f aca="false">IF(F13="","",ROUND(24*F13*PctNot*(N(J13)+N(K13)*PctHE1),2))</f>
        <v/>
      </c>
      <c r="N13" s="69" t="str">
        <f aca="false">IF(OR(F13="",DiasUteis=0),"",ROUND((L13+M13)/DiasUteis*DiasDescanso,2))</f>
        <v/>
      </c>
      <c r="O13" s="71" t="str">
        <f aca="false">IF(F13="","",L13+M13+N13)</f>
        <v/>
      </c>
    </row>
    <row r="14" customFormat="false" ht="15" hidden="false" customHeight="false" outlineLevel="0" collapsed="false">
      <c r="A14" s="41"/>
      <c r="B14" s="66"/>
      <c r="C14" s="66"/>
      <c r="D14" s="67"/>
      <c r="E14" s="68" t="str">
        <f aca="false">IF(D14="","",D14*5)</f>
        <v/>
      </c>
      <c r="F14" s="69" t="str">
        <f aca="false">IF(OR(A14="",B14="",E14=""),"",(B14+N(C14))/E14)</f>
        <v/>
      </c>
      <c r="G14" s="70"/>
      <c r="H14" s="70"/>
      <c r="I14" s="70"/>
      <c r="J14" s="70"/>
      <c r="K14" s="70"/>
      <c r="L14" s="69" t="str">
        <f aca="false">IF(F14="","",ROUND(24*F14*(N(G14)*(1+PctHE1)+N(H14)*(1+PctHE2)+N(I14)*(1+PctHE100)),2))</f>
        <v/>
      </c>
      <c r="M14" s="69" t="str">
        <f aca="false">IF(F14="","",ROUND(24*F14*PctNot*(N(J14)+N(K14)*PctHE1),2))</f>
        <v/>
      </c>
      <c r="N14" s="69" t="str">
        <f aca="false">IF(OR(F14="",DiasUteis=0),"",ROUND((L14+M14)/DiasUteis*DiasDescanso,2))</f>
        <v/>
      </c>
      <c r="O14" s="71" t="str">
        <f aca="false">IF(F14="","",L14+M14+N14)</f>
        <v/>
      </c>
    </row>
    <row r="15" customFormat="false" ht="15" hidden="false" customHeight="false" outlineLevel="0" collapsed="false">
      <c r="A15" s="41"/>
      <c r="B15" s="66"/>
      <c r="C15" s="66"/>
      <c r="D15" s="67"/>
      <c r="E15" s="68" t="str">
        <f aca="false">IF(D15="","",D15*5)</f>
        <v/>
      </c>
      <c r="F15" s="69" t="str">
        <f aca="false">IF(OR(A15="",B15="",E15=""),"",(B15+N(C15))/E15)</f>
        <v/>
      </c>
      <c r="G15" s="70"/>
      <c r="H15" s="70"/>
      <c r="I15" s="70"/>
      <c r="J15" s="70"/>
      <c r="K15" s="70"/>
      <c r="L15" s="69" t="str">
        <f aca="false">IF(F15="","",ROUND(24*F15*(N(G15)*(1+PctHE1)+N(H15)*(1+PctHE2)+N(I15)*(1+PctHE100)),2))</f>
        <v/>
      </c>
      <c r="M15" s="69" t="str">
        <f aca="false">IF(F15="","",ROUND(24*F15*PctNot*(N(J15)+N(K15)*PctHE1),2))</f>
        <v/>
      </c>
      <c r="N15" s="69" t="str">
        <f aca="false">IF(OR(F15="",DiasUteis=0),"",ROUND((L15+M15)/DiasUteis*DiasDescanso,2))</f>
        <v/>
      </c>
      <c r="O15" s="71" t="str">
        <f aca="false">IF(F15="","",L15+M15+N15)</f>
        <v/>
      </c>
    </row>
    <row r="16" customFormat="false" ht="15" hidden="false" customHeight="false" outlineLevel="0" collapsed="false">
      <c r="A16" s="41"/>
      <c r="B16" s="66"/>
      <c r="C16" s="66"/>
      <c r="D16" s="67"/>
      <c r="E16" s="68" t="str">
        <f aca="false">IF(D16="","",D16*5)</f>
        <v/>
      </c>
      <c r="F16" s="69" t="str">
        <f aca="false">IF(OR(A16="",B16="",E16=""),"",(B16+N(C16))/E16)</f>
        <v/>
      </c>
      <c r="G16" s="70"/>
      <c r="H16" s="70"/>
      <c r="I16" s="70"/>
      <c r="J16" s="70"/>
      <c r="K16" s="70"/>
      <c r="L16" s="69" t="str">
        <f aca="false">IF(F16="","",ROUND(24*F16*(N(G16)*(1+PctHE1)+N(H16)*(1+PctHE2)+N(I16)*(1+PctHE100)),2))</f>
        <v/>
      </c>
      <c r="M16" s="69" t="str">
        <f aca="false">IF(F16="","",ROUND(24*F16*PctNot*(N(J16)+N(K16)*PctHE1),2))</f>
        <v/>
      </c>
      <c r="N16" s="69" t="str">
        <f aca="false">IF(OR(F16="",DiasUteis=0),"",ROUND((L16+M16)/DiasUteis*DiasDescanso,2))</f>
        <v/>
      </c>
      <c r="O16" s="71" t="str">
        <f aca="false">IF(F16="","",L16+M16+N16)</f>
        <v/>
      </c>
    </row>
    <row r="17" customFormat="false" ht="15" hidden="false" customHeight="false" outlineLevel="0" collapsed="false">
      <c r="A17" s="41"/>
      <c r="B17" s="66"/>
      <c r="C17" s="66"/>
      <c r="D17" s="67"/>
      <c r="E17" s="68" t="str">
        <f aca="false">IF(D17="","",D17*5)</f>
        <v/>
      </c>
      <c r="F17" s="69" t="str">
        <f aca="false">IF(OR(A17="",B17="",E17=""),"",(B17+N(C17))/E17)</f>
        <v/>
      </c>
      <c r="G17" s="70"/>
      <c r="H17" s="70"/>
      <c r="I17" s="70"/>
      <c r="J17" s="70"/>
      <c r="K17" s="70"/>
      <c r="L17" s="69" t="str">
        <f aca="false">IF(F17="","",ROUND(24*F17*(N(G17)*(1+PctHE1)+N(H17)*(1+PctHE2)+N(I17)*(1+PctHE100)),2))</f>
        <v/>
      </c>
      <c r="M17" s="69" t="str">
        <f aca="false">IF(F17="","",ROUND(24*F17*PctNot*(N(J17)+N(K17)*PctHE1),2))</f>
        <v/>
      </c>
      <c r="N17" s="69" t="str">
        <f aca="false">IF(OR(F17="",DiasUteis=0),"",ROUND((L17+M17)/DiasUteis*DiasDescanso,2))</f>
        <v/>
      </c>
      <c r="O17" s="71" t="str">
        <f aca="false">IF(F17="","",L17+M17+N17)</f>
        <v/>
      </c>
    </row>
    <row r="18" customFormat="false" ht="15" hidden="false" customHeight="false" outlineLevel="0" collapsed="false">
      <c r="A18" s="41"/>
      <c r="B18" s="66"/>
      <c r="C18" s="66"/>
      <c r="D18" s="67"/>
      <c r="E18" s="68" t="str">
        <f aca="false">IF(D18="","",D18*5)</f>
        <v/>
      </c>
      <c r="F18" s="69" t="str">
        <f aca="false">IF(OR(A18="",B18="",E18=""),"",(B18+N(C18))/E18)</f>
        <v/>
      </c>
      <c r="G18" s="70"/>
      <c r="H18" s="70"/>
      <c r="I18" s="70"/>
      <c r="J18" s="70"/>
      <c r="K18" s="70"/>
      <c r="L18" s="69" t="str">
        <f aca="false">IF(F18="","",ROUND(24*F18*(N(G18)*(1+PctHE1)+N(H18)*(1+PctHE2)+N(I18)*(1+PctHE100)),2))</f>
        <v/>
      </c>
      <c r="M18" s="69" t="str">
        <f aca="false">IF(F18="","",ROUND(24*F18*PctNot*(N(J18)+N(K18)*PctHE1),2))</f>
        <v/>
      </c>
      <c r="N18" s="69" t="str">
        <f aca="false">IF(OR(F18="",DiasUteis=0),"",ROUND((L18+M18)/DiasUteis*DiasDescanso,2))</f>
        <v/>
      </c>
      <c r="O18" s="71" t="str">
        <f aca="false">IF(F18="","",L18+M18+N18)</f>
        <v/>
      </c>
    </row>
    <row r="19" customFormat="false" ht="15" hidden="false" customHeight="false" outlineLevel="0" collapsed="false">
      <c r="A19" s="41"/>
      <c r="B19" s="66"/>
      <c r="C19" s="66"/>
      <c r="D19" s="67"/>
      <c r="E19" s="68" t="str">
        <f aca="false">IF(D19="","",D19*5)</f>
        <v/>
      </c>
      <c r="F19" s="69" t="str">
        <f aca="false">IF(OR(A19="",B19="",E19=""),"",(B19+N(C19))/E19)</f>
        <v/>
      </c>
      <c r="G19" s="70"/>
      <c r="H19" s="70"/>
      <c r="I19" s="70"/>
      <c r="J19" s="70"/>
      <c r="K19" s="70"/>
      <c r="L19" s="69" t="str">
        <f aca="false">IF(F19="","",ROUND(24*F19*(N(G19)*(1+PctHE1)+N(H19)*(1+PctHE2)+N(I19)*(1+PctHE100)),2))</f>
        <v/>
      </c>
      <c r="M19" s="69" t="str">
        <f aca="false">IF(F19="","",ROUND(24*F19*PctNot*(N(J19)+N(K19)*PctHE1),2))</f>
        <v/>
      </c>
      <c r="N19" s="69" t="str">
        <f aca="false">IF(OR(F19="",DiasUteis=0),"",ROUND((L19+M19)/DiasUteis*DiasDescanso,2))</f>
        <v/>
      </c>
      <c r="O19" s="71" t="str">
        <f aca="false">IF(F19="","",L19+M19+N19)</f>
        <v/>
      </c>
    </row>
    <row r="20" customFormat="false" ht="15" hidden="false" customHeight="false" outlineLevel="0" collapsed="false">
      <c r="A20" s="41"/>
      <c r="B20" s="66"/>
      <c r="C20" s="66"/>
      <c r="D20" s="67"/>
      <c r="E20" s="68" t="str">
        <f aca="false">IF(D20="","",D20*5)</f>
        <v/>
      </c>
      <c r="F20" s="69" t="str">
        <f aca="false">IF(OR(A20="",B20="",E20=""),"",(B20+N(C20))/E20)</f>
        <v/>
      </c>
      <c r="G20" s="70"/>
      <c r="H20" s="70"/>
      <c r="I20" s="70"/>
      <c r="J20" s="70"/>
      <c r="K20" s="70"/>
      <c r="L20" s="69" t="str">
        <f aca="false">IF(F20="","",ROUND(24*F20*(N(G20)*(1+PctHE1)+N(H20)*(1+PctHE2)+N(I20)*(1+PctHE100)),2))</f>
        <v/>
      </c>
      <c r="M20" s="69" t="str">
        <f aca="false">IF(F20="","",ROUND(24*F20*PctNot*(N(J20)+N(K20)*PctHE1),2))</f>
        <v/>
      </c>
      <c r="N20" s="69" t="str">
        <f aca="false">IF(OR(F20="",DiasUteis=0),"",ROUND((L20+M20)/DiasUteis*DiasDescanso,2))</f>
        <v/>
      </c>
      <c r="O20" s="71" t="str">
        <f aca="false">IF(F20="","",L20+M20+N20)</f>
        <v/>
      </c>
    </row>
    <row r="21" customFormat="false" ht="15" hidden="false" customHeight="false" outlineLevel="0" collapsed="false">
      <c r="A21" s="41"/>
      <c r="B21" s="66"/>
      <c r="C21" s="66"/>
      <c r="D21" s="67"/>
      <c r="E21" s="68" t="str">
        <f aca="false">IF(D21="","",D21*5)</f>
        <v/>
      </c>
      <c r="F21" s="69" t="str">
        <f aca="false">IF(OR(A21="",B21="",E21=""),"",(B21+N(C21))/E21)</f>
        <v/>
      </c>
      <c r="G21" s="70"/>
      <c r="H21" s="70"/>
      <c r="I21" s="70"/>
      <c r="J21" s="70"/>
      <c r="K21" s="70"/>
      <c r="L21" s="69" t="str">
        <f aca="false">IF(F21="","",ROUND(24*F21*(N(G21)*(1+PctHE1)+N(H21)*(1+PctHE2)+N(I21)*(1+PctHE100)),2))</f>
        <v/>
      </c>
      <c r="M21" s="69" t="str">
        <f aca="false">IF(F21="","",ROUND(24*F21*PctNot*(N(J21)+N(K21)*PctHE1),2))</f>
        <v/>
      </c>
      <c r="N21" s="69" t="str">
        <f aca="false">IF(OR(F21="",DiasUteis=0),"",ROUND((L21+M21)/DiasUteis*DiasDescanso,2))</f>
        <v/>
      </c>
      <c r="O21" s="71" t="str">
        <f aca="false">IF(F21="","",L21+M21+N21)</f>
        <v/>
      </c>
    </row>
    <row r="22" customFormat="false" ht="15" hidden="false" customHeight="false" outlineLevel="0" collapsed="false">
      <c r="A22" s="41"/>
      <c r="B22" s="66"/>
      <c r="C22" s="66"/>
      <c r="D22" s="67"/>
      <c r="E22" s="68" t="str">
        <f aca="false">IF(D22="","",D22*5)</f>
        <v/>
      </c>
      <c r="F22" s="69" t="str">
        <f aca="false">IF(OR(A22="",B22="",E22=""),"",(B22+N(C22))/E22)</f>
        <v/>
      </c>
      <c r="G22" s="70"/>
      <c r="H22" s="70"/>
      <c r="I22" s="70"/>
      <c r="J22" s="70"/>
      <c r="K22" s="70"/>
      <c r="L22" s="69" t="str">
        <f aca="false">IF(F22="","",ROUND(24*F22*(N(G22)*(1+PctHE1)+N(H22)*(1+PctHE2)+N(I22)*(1+PctHE100)),2))</f>
        <v/>
      </c>
      <c r="M22" s="69" t="str">
        <f aca="false">IF(F22="","",ROUND(24*F22*PctNot*(N(J22)+N(K22)*PctHE1),2))</f>
        <v/>
      </c>
      <c r="N22" s="69" t="str">
        <f aca="false">IF(OR(F22="",DiasUteis=0),"",ROUND((L22+M22)/DiasUteis*DiasDescanso,2))</f>
        <v/>
      </c>
      <c r="O22" s="71" t="str">
        <f aca="false">IF(F22="","",L22+M22+N22)</f>
        <v/>
      </c>
    </row>
    <row r="23" customFormat="false" ht="15" hidden="false" customHeight="false" outlineLevel="0" collapsed="false">
      <c r="A23" s="41"/>
      <c r="B23" s="66"/>
      <c r="C23" s="66"/>
      <c r="D23" s="67"/>
      <c r="E23" s="68" t="str">
        <f aca="false">IF(D23="","",D23*5)</f>
        <v/>
      </c>
      <c r="F23" s="69" t="str">
        <f aca="false">IF(OR(A23="",B23="",E23=""),"",(B23+N(C23))/E23)</f>
        <v/>
      </c>
      <c r="G23" s="70"/>
      <c r="H23" s="70"/>
      <c r="I23" s="70"/>
      <c r="J23" s="70"/>
      <c r="K23" s="70"/>
      <c r="L23" s="69" t="str">
        <f aca="false">IF(F23="","",ROUND(24*F23*(N(G23)*(1+PctHE1)+N(H23)*(1+PctHE2)+N(I23)*(1+PctHE100)),2))</f>
        <v/>
      </c>
      <c r="M23" s="69" t="str">
        <f aca="false">IF(F23="","",ROUND(24*F23*PctNot*(N(J23)+N(K23)*PctHE1),2))</f>
        <v/>
      </c>
      <c r="N23" s="69" t="str">
        <f aca="false">IF(OR(F23="",DiasUteis=0),"",ROUND((L23+M23)/DiasUteis*DiasDescanso,2))</f>
        <v/>
      </c>
      <c r="O23" s="71" t="str">
        <f aca="false">IF(F23="","",L23+M23+N23)</f>
        <v/>
      </c>
    </row>
    <row r="24" customFormat="false" ht="15" hidden="false" customHeight="false" outlineLevel="0" collapsed="false">
      <c r="A24" s="41"/>
      <c r="B24" s="66"/>
      <c r="C24" s="66"/>
      <c r="D24" s="67"/>
      <c r="E24" s="68" t="str">
        <f aca="false">IF(D24="","",D24*5)</f>
        <v/>
      </c>
      <c r="F24" s="69" t="str">
        <f aca="false">IF(OR(A24="",B24="",E24=""),"",(B24+N(C24))/E24)</f>
        <v/>
      </c>
      <c r="G24" s="70"/>
      <c r="H24" s="70"/>
      <c r="I24" s="70"/>
      <c r="J24" s="70"/>
      <c r="K24" s="70"/>
      <c r="L24" s="69" t="str">
        <f aca="false">IF(F24="","",ROUND(24*F24*(N(G24)*(1+PctHE1)+N(H24)*(1+PctHE2)+N(I24)*(1+PctHE100)),2))</f>
        <v/>
      </c>
      <c r="M24" s="69" t="str">
        <f aca="false">IF(F24="","",ROUND(24*F24*PctNot*(N(J24)+N(K24)*PctHE1),2))</f>
        <v/>
      </c>
      <c r="N24" s="69" t="str">
        <f aca="false">IF(OR(F24="",DiasUteis=0),"",ROUND((L24+M24)/DiasUteis*DiasDescanso,2))</f>
        <v/>
      </c>
      <c r="O24" s="71" t="str">
        <f aca="false">IF(F24="","",L24+M24+N24)</f>
        <v/>
      </c>
    </row>
    <row r="25" customFormat="false" ht="15" hidden="false" customHeight="false" outlineLevel="0" collapsed="false">
      <c r="A25" s="41"/>
      <c r="B25" s="66"/>
      <c r="C25" s="66"/>
      <c r="D25" s="67"/>
      <c r="E25" s="68" t="str">
        <f aca="false">IF(D25="","",D25*5)</f>
        <v/>
      </c>
      <c r="F25" s="69" t="str">
        <f aca="false">IF(OR(A25="",B25="",E25=""),"",(B25+N(C25))/E25)</f>
        <v/>
      </c>
      <c r="G25" s="70"/>
      <c r="H25" s="70"/>
      <c r="I25" s="70"/>
      <c r="J25" s="70"/>
      <c r="K25" s="70"/>
      <c r="L25" s="69" t="str">
        <f aca="false">IF(F25="","",ROUND(24*F25*(N(G25)*(1+PctHE1)+N(H25)*(1+PctHE2)+N(I25)*(1+PctHE100)),2))</f>
        <v/>
      </c>
      <c r="M25" s="69" t="str">
        <f aca="false">IF(F25="","",ROUND(24*F25*PctNot*(N(J25)+N(K25)*PctHE1),2))</f>
        <v/>
      </c>
      <c r="N25" s="69" t="str">
        <f aca="false">IF(OR(F25="",DiasUteis=0),"",ROUND((L25+M25)/DiasUteis*DiasDescanso,2))</f>
        <v/>
      </c>
      <c r="O25" s="71" t="str">
        <f aca="false">IF(F25="","",L25+M25+N25)</f>
        <v/>
      </c>
    </row>
    <row r="26" customFormat="false" ht="15" hidden="false" customHeight="false" outlineLevel="0" collapsed="false">
      <c r="A26" s="41"/>
      <c r="B26" s="66"/>
      <c r="C26" s="66"/>
      <c r="D26" s="67"/>
      <c r="E26" s="68" t="str">
        <f aca="false">IF(D26="","",D26*5)</f>
        <v/>
      </c>
      <c r="F26" s="69" t="str">
        <f aca="false">IF(OR(A26="",B26="",E26=""),"",(B26+N(C26))/E26)</f>
        <v/>
      </c>
      <c r="G26" s="70"/>
      <c r="H26" s="70"/>
      <c r="I26" s="70"/>
      <c r="J26" s="70"/>
      <c r="K26" s="70"/>
      <c r="L26" s="69" t="str">
        <f aca="false">IF(F26="","",ROUND(24*F26*(N(G26)*(1+PctHE1)+N(H26)*(1+PctHE2)+N(I26)*(1+PctHE100)),2))</f>
        <v/>
      </c>
      <c r="M26" s="69" t="str">
        <f aca="false">IF(F26="","",ROUND(24*F26*PctNot*(N(J26)+N(K26)*PctHE1),2))</f>
        <v/>
      </c>
      <c r="N26" s="69" t="str">
        <f aca="false">IF(OR(F26="",DiasUteis=0),"",ROUND((L26+M26)/DiasUteis*DiasDescanso,2))</f>
        <v/>
      </c>
      <c r="O26" s="71" t="str">
        <f aca="false">IF(F26="","",L26+M26+N26)</f>
        <v/>
      </c>
    </row>
    <row r="27" customFormat="false" ht="15" hidden="false" customHeight="false" outlineLevel="0" collapsed="false">
      <c r="A27" s="41"/>
      <c r="B27" s="66"/>
      <c r="C27" s="66"/>
      <c r="D27" s="67"/>
      <c r="E27" s="68" t="str">
        <f aca="false">IF(D27="","",D27*5)</f>
        <v/>
      </c>
      <c r="F27" s="69" t="str">
        <f aca="false">IF(OR(A27="",B27="",E27=""),"",(B27+N(C27))/E27)</f>
        <v/>
      </c>
      <c r="G27" s="70"/>
      <c r="H27" s="70"/>
      <c r="I27" s="70"/>
      <c r="J27" s="70"/>
      <c r="K27" s="70"/>
      <c r="L27" s="69" t="str">
        <f aca="false">IF(F27="","",ROUND(24*F27*(N(G27)*(1+PctHE1)+N(H27)*(1+PctHE2)+N(I27)*(1+PctHE100)),2))</f>
        <v/>
      </c>
      <c r="M27" s="69" t="str">
        <f aca="false">IF(F27="","",ROUND(24*F27*PctNot*(N(J27)+N(K27)*PctHE1),2))</f>
        <v/>
      </c>
      <c r="N27" s="69" t="str">
        <f aca="false">IF(OR(F27="",DiasUteis=0),"",ROUND((L27+M27)/DiasUteis*DiasDescanso,2))</f>
        <v/>
      </c>
      <c r="O27" s="71" t="str">
        <f aca="false">IF(F27="","",L27+M27+N27)</f>
        <v/>
      </c>
    </row>
    <row r="28" customFormat="false" ht="15" hidden="false" customHeight="false" outlineLevel="0" collapsed="false">
      <c r="A28" s="41"/>
      <c r="B28" s="66"/>
      <c r="C28" s="66"/>
      <c r="D28" s="67"/>
      <c r="E28" s="68" t="str">
        <f aca="false">IF(D28="","",D28*5)</f>
        <v/>
      </c>
      <c r="F28" s="69" t="str">
        <f aca="false">IF(OR(A28="",B28="",E28=""),"",(B28+N(C28))/E28)</f>
        <v/>
      </c>
      <c r="G28" s="70"/>
      <c r="H28" s="70"/>
      <c r="I28" s="70"/>
      <c r="J28" s="70"/>
      <c r="K28" s="70"/>
      <c r="L28" s="69" t="str">
        <f aca="false">IF(F28="","",ROUND(24*F28*(N(G28)*(1+PctHE1)+N(H28)*(1+PctHE2)+N(I28)*(1+PctHE100)),2))</f>
        <v/>
      </c>
      <c r="M28" s="69" t="str">
        <f aca="false">IF(F28="","",ROUND(24*F28*PctNot*(N(J28)+N(K28)*PctHE1),2))</f>
        <v/>
      </c>
      <c r="N28" s="69" t="str">
        <f aca="false">IF(OR(F28="",DiasUteis=0),"",ROUND((L28+M28)/DiasUteis*DiasDescanso,2))</f>
        <v/>
      </c>
      <c r="O28" s="71" t="str">
        <f aca="false">IF(F28="","",L28+M28+N28)</f>
        <v/>
      </c>
    </row>
    <row r="29" customFormat="false" ht="15" hidden="false" customHeight="false" outlineLevel="0" collapsed="false">
      <c r="A29" s="41"/>
      <c r="B29" s="66"/>
      <c r="C29" s="66"/>
      <c r="D29" s="67"/>
      <c r="E29" s="68" t="str">
        <f aca="false">IF(D29="","",D29*5)</f>
        <v/>
      </c>
      <c r="F29" s="69" t="str">
        <f aca="false">IF(OR(A29="",B29="",E29=""),"",(B29+N(C29))/E29)</f>
        <v/>
      </c>
      <c r="G29" s="70"/>
      <c r="H29" s="70"/>
      <c r="I29" s="70"/>
      <c r="J29" s="70"/>
      <c r="K29" s="70"/>
      <c r="L29" s="69" t="str">
        <f aca="false">IF(F29="","",ROUND(24*F29*(N(G29)*(1+PctHE1)+N(H29)*(1+PctHE2)+N(I29)*(1+PctHE100)),2))</f>
        <v/>
      </c>
      <c r="M29" s="69" t="str">
        <f aca="false">IF(F29="","",ROUND(24*F29*PctNot*(N(J29)+N(K29)*PctHE1),2))</f>
        <v/>
      </c>
      <c r="N29" s="69" t="str">
        <f aca="false">IF(OR(F29="",DiasUteis=0),"",ROUND((L29+M29)/DiasUteis*DiasDescanso,2))</f>
        <v/>
      </c>
      <c r="O29" s="71" t="str">
        <f aca="false">IF(F29="","",L29+M29+N29)</f>
        <v/>
      </c>
    </row>
    <row r="30" customFormat="false" ht="15" hidden="false" customHeight="false" outlineLevel="0" collapsed="false">
      <c r="A30" s="41"/>
      <c r="B30" s="66"/>
      <c r="C30" s="66"/>
      <c r="D30" s="67"/>
      <c r="E30" s="68" t="str">
        <f aca="false">IF(D30="","",D30*5)</f>
        <v/>
      </c>
      <c r="F30" s="69" t="str">
        <f aca="false">IF(OR(A30="",B30="",E30=""),"",(B30+N(C30))/E30)</f>
        <v/>
      </c>
      <c r="G30" s="70"/>
      <c r="H30" s="70"/>
      <c r="I30" s="70"/>
      <c r="J30" s="70"/>
      <c r="K30" s="70"/>
      <c r="L30" s="69" t="str">
        <f aca="false">IF(F30="","",ROUND(24*F30*(N(G30)*(1+PctHE1)+N(H30)*(1+PctHE2)+N(I30)*(1+PctHE100)),2))</f>
        <v/>
      </c>
      <c r="M30" s="69" t="str">
        <f aca="false">IF(F30="","",ROUND(24*F30*PctNot*(N(J30)+N(K30)*PctHE1),2))</f>
        <v/>
      </c>
      <c r="N30" s="69" t="str">
        <f aca="false">IF(OR(F30="",DiasUteis=0),"",ROUND((L30+M30)/DiasUteis*DiasDescanso,2))</f>
        <v/>
      </c>
      <c r="O30" s="71" t="str">
        <f aca="false">IF(F30="","",L30+M30+N30)</f>
        <v/>
      </c>
    </row>
    <row r="31" customFormat="false" ht="15" hidden="false" customHeight="false" outlineLevel="0" collapsed="false">
      <c r="A31" s="41"/>
      <c r="B31" s="66"/>
      <c r="C31" s="66"/>
      <c r="D31" s="67"/>
      <c r="E31" s="68" t="str">
        <f aca="false">IF(D31="","",D31*5)</f>
        <v/>
      </c>
      <c r="F31" s="69" t="str">
        <f aca="false">IF(OR(A31="",B31="",E31=""),"",(B31+N(C31))/E31)</f>
        <v/>
      </c>
      <c r="G31" s="70"/>
      <c r="H31" s="70"/>
      <c r="I31" s="70"/>
      <c r="J31" s="70"/>
      <c r="K31" s="70"/>
      <c r="L31" s="69" t="str">
        <f aca="false">IF(F31="","",ROUND(24*F31*(N(G31)*(1+PctHE1)+N(H31)*(1+PctHE2)+N(I31)*(1+PctHE100)),2))</f>
        <v/>
      </c>
      <c r="M31" s="69" t="str">
        <f aca="false">IF(F31="","",ROUND(24*F31*PctNot*(N(J31)+N(K31)*PctHE1),2))</f>
        <v/>
      </c>
      <c r="N31" s="69" t="str">
        <f aca="false">IF(OR(F31="",DiasUteis=0),"",ROUND((L31+M31)/DiasUteis*DiasDescanso,2))</f>
        <v/>
      </c>
      <c r="O31" s="71" t="str">
        <f aca="false">IF(F31="","",L31+M31+N31)</f>
        <v/>
      </c>
    </row>
    <row r="32" customFormat="false" ht="15" hidden="false" customHeight="false" outlineLevel="0" collapsed="false">
      <c r="A32" s="41"/>
      <c r="B32" s="66"/>
      <c r="C32" s="66"/>
      <c r="D32" s="67"/>
      <c r="E32" s="68" t="str">
        <f aca="false">IF(D32="","",D32*5)</f>
        <v/>
      </c>
      <c r="F32" s="69" t="str">
        <f aca="false">IF(OR(A32="",B32="",E32=""),"",(B32+N(C32))/E32)</f>
        <v/>
      </c>
      <c r="G32" s="70"/>
      <c r="H32" s="70"/>
      <c r="I32" s="70"/>
      <c r="J32" s="70"/>
      <c r="K32" s="70"/>
      <c r="L32" s="69" t="str">
        <f aca="false">IF(F32="","",ROUND(24*F32*(N(G32)*(1+PctHE1)+N(H32)*(1+PctHE2)+N(I32)*(1+PctHE100)),2))</f>
        <v/>
      </c>
      <c r="M32" s="69" t="str">
        <f aca="false">IF(F32="","",ROUND(24*F32*PctNot*(N(J32)+N(K32)*PctHE1),2))</f>
        <v/>
      </c>
      <c r="N32" s="69" t="str">
        <f aca="false">IF(OR(F32="",DiasUteis=0),"",ROUND((L32+M32)/DiasUteis*DiasDescanso,2))</f>
        <v/>
      </c>
      <c r="O32" s="71" t="str">
        <f aca="false">IF(F32="","",L32+M32+N32)</f>
        <v/>
      </c>
    </row>
    <row r="33" customFormat="false" ht="15" hidden="false" customHeight="false" outlineLevel="0" collapsed="false">
      <c r="A33" s="41"/>
      <c r="B33" s="66"/>
      <c r="C33" s="66"/>
      <c r="D33" s="67"/>
      <c r="E33" s="68" t="str">
        <f aca="false">IF(D33="","",D33*5)</f>
        <v/>
      </c>
      <c r="F33" s="69" t="str">
        <f aca="false">IF(OR(A33="",B33="",E33=""),"",(B33+N(C33))/E33)</f>
        <v/>
      </c>
      <c r="G33" s="70"/>
      <c r="H33" s="70"/>
      <c r="I33" s="70"/>
      <c r="J33" s="70"/>
      <c r="K33" s="70"/>
      <c r="L33" s="69" t="str">
        <f aca="false">IF(F33="","",ROUND(24*F33*(N(G33)*(1+PctHE1)+N(H33)*(1+PctHE2)+N(I33)*(1+PctHE100)),2))</f>
        <v/>
      </c>
      <c r="M33" s="69" t="str">
        <f aca="false">IF(F33="","",ROUND(24*F33*PctNot*(N(J33)+N(K33)*PctHE1),2))</f>
        <v/>
      </c>
      <c r="N33" s="69" t="str">
        <f aca="false">IF(OR(F33="",DiasUteis=0),"",ROUND((L33+M33)/DiasUteis*DiasDescanso,2))</f>
        <v/>
      </c>
      <c r="O33" s="71" t="str">
        <f aca="false">IF(F33="","",L33+M33+N33)</f>
        <v/>
      </c>
    </row>
    <row r="34" customFormat="false" ht="15" hidden="false" customHeight="false" outlineLevel="0" collapsed="false">
      <c r="A34" s="41"/>
      <c r="B34" s="66"/>
      <c r="C34" s="66"/>
      <c r="D34" s="67"/>
      <c r="E34" s="68" t="str">
        <f aca="false">IF(D34="","",D34*5)</f>
        <v/>
      </c>
      <c r="F34" s="69" t="str">
        <f aca="false">IF(OR(A34="",B34="",E34=""),"",(B34+N(C34))/E34)</f>
        <v/>
      </c>
      <c r="G34" s="70"/>
      <c r="H34" s="70"/>
      <c r="I34" s="70"/>
      <c r="J34" s="70"/>
      <c r="K34" s="70"/>
      <c r="L34" s="69" t="str">
        <f aca="false">IF(F34="","",ROUND(24*F34*(N(G34)*(1+PctHE1)+N(H34)*(1+PctHE2)+N(I34)*(1+PctHE100)),2))</f>
        <v/>
      </c>
      <c r="M34" s="69" t="str">
        <f aca="false">IF(F34="","",ROUND(24*F34*PctNot*(N(J34)+N(K34)*PctHE1),2))</f>
        <v/>
      </c>
      <c r="N34" s="69" t="str">
        <f aca="false">IF(OR(F34="",DiasUteis=0),"",ROUND((L34+M34)/DiasUteis*DiasDescanso,2))</f>
        <v/>
      </c>
      <c r="O34" s="71" t="str">
        <f aca="false">IF(F34="","",L34+M34+N34)</f>
        <v/>
      </c>
    </row>
    <row r="35" customFormat="false" ht="15" hidden="false" customHeight="false" outlineLevel="0" collapsed="false">
      <c r="A35" s="41"/>
      <c r="B35" s="66"/>
      <c r="C35" s="66"/>
      <c r="D35" s="67"/>
      <c r="E35" s="68" t="str">
        <f aca="false">IF(D35="","",D35*5)</f>
        <v/>
      </c>
      <c r="F35" s="69" t="str">
        <f aca="false">IF(OR(A35="",B35="",E35=""),"",(B35+N(C35))/E35)</f>
        <v/>
      </c>
      <c r="G35" s="70"/>
      <c r="H35" s="70"/>
      <c r="I35" s="70"/>
      <c r="J35" s="70"/>
      <c r="K35" s="70"/>
      <c r="L35" s="69" t="str">
        <f aca="false">IF(F35="","",ROUND(24*F35*(N(G35)*(1+PctHE1)+N(H35)*(1+PctHE2)+N(I35)*(1+PctHE100)),2))</f>
        <v/>
      </c>
      <c r="M35" s="69" t="str">
        <f aca="false">IF(F35="","",ROUND(24*F35*PctNot*(N(J35)+N(K35)*PctHE1),2))</f>
        <v/>
      </c>
      <c r="N35" s="69" t="str">
        <f aca="false">IF(OR(F35="",DiasUteis=0),"",ROUND((L35+M35)/DiasUteis*DiasDescanso,2))</f>
        <v/>
      </c>
      <c r="O35" s="71" t="str">
        <f aca="false">IF(F35="","",L35+M35+N35)</f>
        <v/>
      </c>
    </row>
    <row r="36" customFormat="false" ht="15" hidden="false" customHeight="false" outlineLevel="0" collapsed="false">
      <c r="A36" s="41"/>
      <c r="B36" s="66"/>
      <c r="C36" s="66"/>
      <c r="D36" s="67"/>
      <c r="E36" s="68" t="str">
        <f aca="false">IF(D36="","",D36*5)</f>
        <v/>
      </c>
      <c r="F36" s="69" t="str">
        <f aca="false">IF(OR(A36="",B36="",E36=""),"",(B36+N(C36))/E36)</f>
        <v/>
      </c>
      <c r="G36" s="70"/>
      <c r="H36" s="70"/>
      <c r="I36" s="70"/>
      <c r="J36" s="70"/>
      <c r="K36" s="70"/>
      <c r="L36" s="69" t="str">
        <f aca="false">IF(F36="","",ROUND(24*F36*(N(G36)*(1+PctHE1)+N(H36)*(1+PctHE2)+N(I36)*(1+PctHE100)),2))</f>
        <v/>
      </c>
      <c r="M36" s="69" t="str">
        <f aca="false">IF(F36="","",ROUND(24*F36*PctNot*(N(J36)+N(K36)*PctHE1),2))</f>
        <v/>
      </c>
      <c r="N36" s="69" t="str">
        <f aca="false">IF(OR(F36="",DiasUteis=0),"",ROUND((L36+M36)/DiasUteis*DiasDescanso,2))</f>
        <v/>
      </c>
      <c r="O36" s="71" t="str">
        <f aca="false">IF(F36="","",L36+M36+N36)</f>
        <v/>
      </c>
    </row>
    <row r="37" customFormat="false" ht="15" hidden="false" customHeight="false" outlineLevel="0" collapsed="false">
      <c r="A37" s="41"/>
      <c r="B37" s="66"/>
      <c r="C37" s="66"/>
      <c r="D37" s="67"/>
      <c r="E37" s="68" t="str">
        <f aca="false">IF(D37="","",D37*5)</f>
        <v/>
      </c>
      <c r="F37" s="69" t="str">
        <f aca="false">IF(OR(A37="",B37="",E37=""),"",(B37+N(C37))/E37)</f>
        <v/>
      </c>
      <c r="G37" s="70"/>
      <c r="H37" s="70"/>
      <c r="I37" s="70"/>
      <c r="J37" s="70"/>
      <c r="K37" s="70"/>
      <c r="L37" s="69" t="str">
        <f aca="false">IF(F37="","",ROUND(24*F37*(N(G37)*(1+PctHE1)+N(H37)*(1+PctHE2)+N(I37)*(1+PctHE100)),2))</f>
        <v/>
      </c>
      <c r="M37" s="69" t="str">
        <f aca="false">IF(F37="","",ROUND(24*F37*PctNot*(N(J37)+N(K37)*PctHE1),2))</f>
        <v/>
      </c>
      <c r="N37" s="69" t="str">
        <f aca="false">IF(OR(F37="",DiasUteis=0),"",ROUND((L37+M37)/DiasUteis*DiasDescanso,2))</f>
        <v/>
      </c>
      <c r="O37" s="71" t="str">
        <f aca="false">IF(F37="","",L37+M37+N37)</f>
        <v/>
      </c>
    </row>
    <row r="38" customFormat="false" ht="15" hidden="false" customHeight="false" outlineLevel="0" collapsed="false">
      <c r="A38" s="41"/>
      <c r="B38" s="66"/>
      <c r="C38" s="66"/>
      <c r="D38" s="67"/>
      <c r="E38" s="68" t="str">
        <f aca="false">IF(D38="","",D38*5)</f>
        <v/>
      </c>
      <c r="F38" s="69" t="str">
        <f aca="false">IF(OR(A38="",B38="",E38=""),"",(B38+N(C38))/E38)</f>
        <v/>
      </c>
      <c r="G38" s="70"/>
      <c r="H38" s="70"/>
      <c r="I38" s="70"/>
      <c r="J38" s="70"/>
      <c r="K38" s="70"/>
      <c r="L38" s="69" t="str">
        <f aca="false">IF(F38="","",ROUND(24*F38*(N(G38)*(1+PctHE1)+N(H38)*(1+PctHE2)+N(I38)*(1+PctHE100)),2))</f>
        <v/>
      </c>
      <c r="M38" s="69" t="str">
        <f aca="false">IF(F38="","",ROUND(24*F38*PctNot*(N(J38)+N(K38)*PctHE1),2))</f>
        <v/>
      </c>
      <c r="N38" s="69" t="str">
        <f aca="false">IF(OR(F38="",DiasUteis=0),"",ROUND((L38+M38)/DiasUteis*DiasDescanso,2))</f>
        <v/>
      </c>
      <c r="O38" s="71" t="str">
        <f aca="false">IF(F38="","",L38+M38+N38)</f>
        <v/>
      </c>
    </row>
    <row r="39" customFormat="false" ht="15" hidden="false" customHeight="false" outlineLevel="0" collapsed="false">
      <c r="A39" s="41"/>
      <c r="B39" s="66"/>
      <c r="C39" s="66"/>
      <c r="D39" s="67"/>
      <c r="E39" s="68" t="str">
        <f aca="false">IF(D39="","",D39*5)</f>
        <v/>
      </c>
      <c r="F39" s="69" t="str">
        <f aca="false">IF(OR(A39="",B39="",E39=""),"",(B39+N(C39))/E39)</f>
        <v/>
      </c>
      <c r="G39" s="70"/>
      <c r="H39" s="70"/>
      <c r="I39" s="70"/>
      <c r="J39" s="70"/>
      <c r="K39" s="70"/>
      <c r="L39" s="69" t="str">
        <f aca="false">IF(F39="","",ROUND(24*F39*(N(G39)*(1+PctHE1)+N(H39)*(1+PctHE2)+N(I39)*(1+PctHE100)),2))</f>
        <v/>
      </c>
      <c r="M39" s="69" t="str">
        <f aca="false">IF(F39="","",ROUND(24*F39*PctNot*(N(J39)+N(K39)*PctHE1),2))</f>
        <v/>
      </c>
      <c r="N39" s="69" t="str">
        <f aca="false">IF(OR(F39="",DiasUteis=0),"",ROUND((L39+M39)/DiasUteis*DiasDescanso,2))</f>
        <v/>
      </c>
      <c r="O39" s="71" t="str">
        <f aca="false">IF(F39="","",L39+M39+N39)</f>
        <v/>
      </c>
    </row>
    <row r="40" customFormat="false" ht="15" hidden="false" customHeight="false" outlineLevel="0" collapsed="false">
      <c r="A40" s="41"/>
      <c r="B40" s="66"/>
      <c r="C40" s="66"/>
      <c r="D40" s="67"/>
      <c r="E40" s="68" t="str">
        <f aca="false">IF(D40="","",D40*5)</f>
        <v/>
      </c>
      <c r="F40" s="69" t="str">
        <f aca="false">IF(OR(A40="",B40="",E40=""),"",(B40+N(C40))/E40)</f>
        <v/>
      </c>
      <c r="G40" s="70"/>
      <c r="H40" s="70"/>
      <c r="I40" s="70"/>
      <c r="J40" s="70"/>
      <c r="K40" s="70"/>
      <c r="L40" s="69" t="str">
        <f aca="false">IF(F40="","",ROUND(24*F40*(N(G40)*(1+PctHE1)+N(H40)*(1+PctHE2)+N(I40)*(1+PctHE100)),2))</f>
        <v/>
      </c>
      <c r="M40" s="69" t="str">
        <f aca="false">IF(F40="","",ROUND(24*F40*PctNot*(N(J40)+N(K40)*PctHE1),2))</f>
        <v/>
      </c>
      <c r="N40" s="69" t="str">
        <f aca="false">IF(OR(F40="",DiasUteis=0),"",ROUND((L40+M40)/DiasUteis*DiasDescanso,2))</f>
        <v/>
      </c>
      <c r="O40" s="71" t="str">
        <f aca="false">IF(F40="","",L40+M40+N40)</f>
        <v/>
      </c>
    </row>
    <row r="41" customFormat="false" ht="15" hidden="false" customHeight="false" outlineLevel="0" collapsed="false">
      <c r="A41" s="41"/>
      <c r="B41" s="66"/>
      <c r="C41" s="66"/>
      <c r="D41" s="67"/>
      <c r="E41" s="68" t="str">
        <f aca="false">IF(D41="","",D41*5)</f>
        <v/>
      </c>
      <c r="F41" s="69" t="str">
        <f aca="false">IF(OR(A41="",B41="",E41=""),"",(B41+N(C41))/E41)</f>
        <v/>
      </c>
      <c r="G41" s="70"/>
      <c r="H41" s="70"/>
      <c r="I41" s="70"/>
      <c r="J41" s="70"/>
      <c r="K41" s="70"/>
      <c r="L41" s="69" t="str">
        <f aca="false">IF(F41="","",ROUND(24*F41*(N(G41)*(1+PctHE1)+N(H41)*(1+PctHE2)+N(I41)*(1+PctHE100)),2))</f>
        <v/>
      </c>
      <c r="M41" s="69" t="str">
        <f aca="false">IF(F41="","",ROUND(24*F41*PctNot*(N(J41)+N(K41)*PctHE1),2))</f>
        <v/>
      </c>
      <c r="N41" s="69" t="str">
        <f aca="false">IF(OR(F41="",DiasUteis=0),"",ROUND((L41+M41)/DiasUteis*DiasDescanso,2))</f>
        <v/>
      </c>
      <c r="O41" s="71" t="str">
        <f aca="false">IF(F41="","",L41+M41+N41)</f>
        <v/>
      </c>
    </row>
    <row r="42" customFormat="false" ht="15" hidden="false" customHeight="false" outlineLevel="0" collapsed="false">
      <c r="A42" s="41"/>
      <c r="B42" s="66"/>
      <c r="C42" s="66"/>
      <c r="D42" s="67"/>
      <c r="E42" s="68" t="str">
        <f aca="false">IF(D42="","",D42*5)</f>
        <v/>
      </c>
      <c r="F42" s="69" t="str">
        <f aca="false">IF(OR(A42="",B42="",E42=""),"",(B42+N(C42))/E42)</f>
        <v/>
      </c>
      <c r="G42" s="70"/>
      <c r="H42" s="70"/>
      <c r="I42" s="70"/>
      <c r="J42" s="70"/>
      <c r="K42" s="70"/>
      <c r="L42" s="69" t="str">
        <f aca="false">IF(F42="","",ROUND(24*F42*(N(G42)*(1+PctHE1)+N(H42)*(1+PctHE2)+N(I42)*(1+PctHE100)),2))</f>
        <v/>
      </c>
      <c r="M42" s="69" t="str">
        <f aca="false">IF(F42="","",ROUND(24*F42*PctNot*(N(J42)+N(K42)*PctHE1),2))</f>
        <v/>
      </c>
      <c r="N42" s="69" t="str">
        <f aca="false">IF(OR(F42="",DiasUteis=0),"",ROUND((L42+M42)/DiasUteis*DiasDescanso,2))</f>
        <v/>
      </c>
      <c r="O42" s="71" t="str">
        <f aca="false">IF(F42="","",L42+M42+N42)</f>
        <v/>
      </c>
    </row>
    <row r="43" customFormat="false" ht="15" hidden="false" customHeight="false" outlineLevel="0" collapsed="false">
      <c r="A43" s="41"/>
      <c r="B43" s="66"/>
      <c r="C43" s="66"/>
      <c r="D43" s="67"/>
      <c r="E43" s="68" t="str">
        <f aca="false">IF(D43="","",D43*5)</f>
        <v/>
      </c>
      <c r="F43" s="69" t="str">
        <f aca="false">IF(OR(A43="",B43="",E43=""),"",(B43+N(C43))/E43)</f>
        <v/>
      </c>
      <c r="G43" s="70"/>
      <c r="H43" s="70"/>
      <c r="I43" s="70"/>
      <c r="J43" s="70"/>
      <c r="K43" s="70"/>
      <c r="L43" s="69" t="str">
        <f aca="false">IF(F43="","",ROUND(24*F43*(N(G43)*(1+PctHE1)+N(H43)*(1+PctHE2)+N(I43)*(1+PctHE100)),2))</f>
        <v/>
      </c>
      <c r="M43" s="69" t="str">
        <f aca="false">IF(F43="","",ROUND(24*F43*PctNot*(N(J43)+N(K43)*PctHE1),2))</f>
        <v/>
      </c>
      <c r="N43" s="69" t="str">
        <f aca="false">IF(OR(F43="",DiasUteis=0),"",ROUND((L43+M43)/DiasUteis*DiasDescanso,2))</f>
        <v/>
      </c>
      <c r="O43" s="71" t="str">
        <f aca="false">IF(F43="","",L43+M43+N43)</f>
        <v/>
      </c>
    </row>
    <row r="44" customFormat="false" ht="15" hidden="false" customHeight="false" outlineLevel="0" collapsed="false">
      <c r="A44" s="41"/>
      <c r="B44" s="66"/>
      <c r="C44" s="66"/>
      <c r="D44" s="67"/>
      <c r="E44" s="68" t="str">
        <f aca="false">IF(D44="","",D44*5)</f>
        <v/>
      </c>
      <c r="F44" s="69" t="str">
        <f aca="false">IF(OR(A44="",B44="",E44=""),"",(B44+N(C44))/E44)</f>
        <v/>
      </c>
      <c r="G44" s="70"/>
      <c r="H44" s="70"/>
      <c r="I44" s="70"/>
      <c r="J44" s="70"/>
      <c r="K44" s="70"/>
      <c r="L44" s="69" t="str">
        <f aca="false">IF(F44="","",ROUND(24*F44*(N(G44)*(1+PctHE1)+N(H44)*(1+PctHE2)+N(I44)*(1+PctHE100)),2))</f>
        <v/>
      </c>
      <c r="M44" s="69" t="str">
        <f aca="false">IF(F44="","",ROUND(24*F44*PctNot*(N(J44)+N(K44)*PctHE1),2))</f>
        <v/>
      </c>
      <c r="N44" s="69" t="str">
        <f aca="false">IF(OR(F44="",DiasUteis=0),"",ROUND((L44+M44)/DiasUteis*DiasDescanso,2))</f>
        <v/>
      </c>
      <c r="O44" s="71" t="str">
        <f aca="false">IF(F44="","",L44+M44+N44)</f>
        <v/>
      </c>
    </row>
    <row r="45" customFormat="false" ht="15" hidden="false" customHeight="false" outlineLevel="0" collapsed="false">
      <c r="A45" s="41"/>
      <c r="B45" s="66"/>
      <c r="C45" s="66"/>
      <c r="D45" s="67"/>
      <c r="E45" s="68" t="str">
        <f aca="false">IF(D45="","",D45*5)</f>
        <v/>
      </c>
      <c r="F45" s="69" t="str">
        <f aca="false">IF(OR(A45="",B45="",E45=""),"",(B45+N(C45))/E45)</f>
        <v/>
      </c>
      <c r="G45" s="70"/>
      <c r="H45" s="70"/>
      <c r="I45" s="70"/>
      <c r="J45" s="70"/>
      <c r="K45" s="70"/>
      <c r="L45" s="69" t="str">
        <f aca="false">IF(F45="","",ROUND(24*F45*(N(G45)*(1+PctHE1)+N(H45)*(1+PctHE2)+N(I45)*(1+PctHE100)),2))</f>
        <v/>
      </c>
      <c r="M45" s="69" t="str">
        <f aca="false">IF(F45="","",ROUND(24*F45*PctNot*(N(J45)+N(K45)*PctHE1),2))</f>
        <v/>
      </c>
      <c r="N45" s="69" t="str">
        <f aca="false">IF(OR(F45="",DiasUteis=0),"",ROUND((L45+M45)/DiasUteis*DiasDescanso,2))</f>
        <v/>
      </c>
      <c r="O45" s="71" t="str">
        <f aca="false">IF(F45="","",L45+M45+N45)</f>
        <v/>
      </c>
    </row>
    <row r="46" customFormat="false" ht="15" hidden="false" customHeight="false" outlineLevel="0" collapsed="false">
      <c r="A46" s="41"/>
      <c r="B46" s="66"/>
      <c r="C46" s="66"/>
      <c r="D46" s="67"/>
      <c r="E46" s="68" t="str">
        <f aca="false">IF(D46="","",D46*5)</f>
        <v/>
      </c>
      <c r="F46" s="69" t="str">
        <f aca="false">IF(OR(A46="",B46="",E46=""),"",(B46+N(C46))/E46)</f>
        <v/>
      </c>
      <c r="G46" s="70"/>
      <c r="H46" s="70"/>
      <c r="I46" s="70"/>
      <c r="J46" s="70"/>
      <c r="K46" s="70"/>
      <c r="L46" s="69" t="str">
        <f aca="false">IF(F46="","",ROUND(24*F46*(N(G46)*(1+PctHE1)+N(H46)*(1+PctHE2)+N(I46)*(1+PctHE100)),2))</f>
        <v/>
      </c>
      <c r="M46" s="69" t="str">
        <f aca="false">IF(F46="","",ROUND(24*F46*PctNot*(N(J46)+N(K46)*PctHE1),2))</f>
        <v/>
      </c>
      <c r="N46" s="69" t="str">
        <f aca="false">IF(OR(F46="",DiasUteis=0),"",ROUND((L46+M46)/DiasUteis*DiasDescanso,2))</f>
        <v/>
      </c>
      <c r="O46" s="71" t="str">
        <f aca="false">IF(F46="","",L46+M46+N46)</f>
        <v/>
      </c>
    </row>
    <row r="47" customFormat="false" ht="15" hidden="false" customHeight="false" outlineLevel="0" collapsed="false">
      <c r="A47" s="41"/>
      <c r="B47" s="66"/>
      <c r="C47" s="66"/>
      <c r="D47" s="67"/>
      <c r="E47" s="68" t="str">
        <f aca="false">IF(D47="","",D47*5)</f>
        <v/>
      </c>
      <c r="F47" s="69" t="str">
        <f aca="false">IF(OR(A47="",B47="",E47=""),"",(B47+N(C47))/E47)</f>
        <v/>
      </c>
      <c r="G47" s="70"/>
      <c r="H47" s="70"/>
      <c r="I47" s="70"/>
      <c r="J47" s="70"/>
      <c r="K47" s="70"/>
      <c r="L47" s="69" t="str">
        <f aca="false">IF(F47="","",ROUND(24*F47*(N(G47)*(1+PctHE1)+N(H47)*(1+PctHE2)+N(I47)*(1+PctHE100)),2))</f>
        <v/>
      </c>
      <c r="M47" s="69" t="str">
        <f aca="false">IF(F47="","",ROUND(24*F47*PctNot*(N(J47)+N(K47)*PctHE1),2))</f>
        <v/>
      </c>
      <c r="N47" s="69" t="str">
        <f aca="false">IF(OR(F47="",DiasUteis=0),"",ROUND((L47+M47)/DiasUteis*DiasDescanso,2))</f>
        <v/>
      </c>
      <c r="O47" s="71" t="str">
        <f aca="false">IF(F47="","",L47+M47+N47)</f>
        <v/>
      </c>
    </row>
    <row r="48" customFormat="false" ht="15" hidden="false" customHeight="false" outlineLevel="0" collapsed="false">
      <c r="A48" s="41"/>
      <c r="B48" s="66"/>
      <c r="C48" s="66"/>
      <c r="D48" s="67"/>
      <c r="E48" s="68" t="str">
        <f aca="false">IF(D48="","",D48*5)</f>
        <v/>
      </c>
      <c r="F48" s="69" t="str">
        <f aca="false">IF(OR(A48="",B48="",E48=""),"",(B48+N(C48))/E48)</f>
        <v/>
      </c>
      <c r="G48" s="70"/>
      <c r="H48" s="70"/>
      <c r="I48" s="70"/>
      <c r="J48" s="70"/>
      <c r="K48" s="70"/>
      <c r="L48" s="69" t="str">
        <f aca="false">IF(F48="","",ROUND(24*F48*(N(G48)*(1+PctHE1)+N(H48)*(1+PctHE2)+N(I48)*(1+PctHE100)),2))</f>
        <v/>
      </c>
      <c r="M48" s="69" t="str">
        <f aca="false">IF(F48="","",ROUND(24*F48*PctNot*(N(J48)+N(K48)*PctHE1),2))</f>
        <v/>
      </c>
      <c r="N48" s="69" t="str">
        <f aca="false">IF(OR(F48="",DiasUteis=0),"",ROUND((L48+M48)/DiasUteis*DiasDescanso,2))</f>
        <v/>
      </c>
      <c r="O48" s="71" t="str">
        <f aca="false">IF(F48="","",L48+M48+N48)</f>
        <v/>
      </c>
    </row>
    <row r="49" customFormat="false" ht="15" hidden="false" customHeight="false" outlineLevel="0" collapsed="false">
      <c r="A49" s="41"/>
      <c r="B49" s="66"/>
      <c r="C49" s="66"/>
      <c r="D49" s="67"/>
      <c r="E49" s="68" t="str">
        <f aca="false">IF(D49="","",D49*5)</f>
        <v/>
      </c>
      <c r="F49" s="69" t="str">
        <f aca="false">IF(OR(A49="",B49="",E49=""),"",(B49+N(C49))/E49)</f>
        <v/>
      </c>
      <c r="G49" s="70"/>
      <c r="H49" s="70"/>
      <c r="I49" s="70"/>
      <c r="J49" s="70"/>
      <c r="K49" s="70"/>
      <c r="L49" s="69" t="str">
        <f aca="false">IF(F49="","",ROUND(24*F49*(N(G49)*(1+PctHE1)+N(H49)*(1+PctHE2)+N(I49)*(1+PctHE100)),2))</f>
        <v/>
      </c>
      <c r="M49" s="69" t="str">
        <f aca="false">IF(F49="","",ROUND(24*F49*PctNot*(N(J49)+N(K49)*PctHE1),2))</f>
        <v/>
      </c>
      <c r="N49" s="69" t="str">
        <f aca="false">IF(OR(F49="",DiasUteis=0),"",ROUND((L49+M49)/DiasUteis*DiasDescanso,2))</f>
        <v/>
      </c>
      <c r="O49" s="71" t="str">
        <f aca="false">IF(F49="","",L49+M49+N49)</f>
        <v/>
      </c>
    </row>
    <row r="50" customFormat="false" ht="15" hidden="false" customHeight="false" outlineLevel="0" collapsed="false">
      <c r="A50" s="41"/>
      <c r="B50" s="66"/>
      <c r="C50" s="66"/>
      <c r="D50" s="67"/>
      <c r="E50" s="68" t="str">
        <f aca="false">IF(D50="","",D50*5)</f>
        <v/>
      </c>
      <c r="F50" s="69" t="str">
        <f aca="false">IF(OR(A50="",B50="",E50=""),"",(B50+N(C50))/E50)</f>
        <v/>
      </c>
      <c r="G50" s="70"/>
      <c r="H50" s="70"/>
      <c r="I50" s="70"/>
      <c r="J50" s="70"/>
      <c r="K50" s="70"/>
      <c r="L50" s="69" t="str">
        <f aca="false">IF(F50="","",ROUND(24*F50*(N(G50)*(1+PctHE1)+N(H50)*(1+PctHE2)+N(I50)*(1+PctHE100)),2))</f>
        <v/>
      </c>
      <c r="M50" s="69" t="str">
        <f aca="false">IF(F50="","",ROUND(24*F50*PctNot*(N(J50)+N(K50)*PctHE1),2))</f>
        <v/>
      </c>
      <c r="N50" s="69" t="str">
        <f aca="false">IF(OR(F50="",DiasUteis=0),"",ROUND((L50+M50)/DiasUteis*DiasDescanso,2))</f>
        <v/>
      </c>
      <c r="O50" s="71" t="str">
        <f aca="false">IF(F50="","",L50+M50+N50)</f>
        <v/>
      </c>
    </row>
    <row r="51" customFormat="false" ht="15" hidden="false" customHeight="false" outlineLevel="0" collapsed="false">
      <c r="A51" s="41"/>
      <c r="B51" s="66"/>
      <c r="C51" s="66"/>
      <c r="D51" s="67"/>
      <c r="E51" s="68" t="str">
        <f aca="false">IF(D51="","",D51*5)</f>
        <v/>
      </c>
      <c r="F51" s="69" t="str">
        <f aca="false">IF(OR(A51="",B51="",E51=""),"",(B51+N(C51))/E51)</f>
        <v/>
      </c>
      <c r="G51" s="70"/>
      <c r="H51" s="70"/>
      <c r="I51" s="70"/>
      <c r="J51" s="70"/>
      <c r="K51" s="70"/>
      <c r="L51" s="69" t="str">
        <f aca="false">IF(F51="","",ROUND(24*F51*(N(G51)*(1+PctHE1)+N(H51)*(1+PctHE2)+N(I51)*(1+PctHE100)),2))</f>
        <v/>
      </c>
      <c r="M51" s="69" t="str">
        <f aca="false">IF(F51="","",ROUND(24*F51*PctNot*(N(J51)+N(K51)*PctHE1),2))</f>
        <v/>
      </c>
      <c r="N51" s="69" t="str">
        <f aca="false">IF(OR(F51="",DiasUteis=0),"",ROUND((L51+M51)/DiasUteis*DiasDescanso,2))</f>
        <v/>
      </c>
      <c r="O51" s="71" t="str">
        <f aca="false">IF(F51="","",L51+M51+N51)</f>
        <v/>
      </c>
    </row>
    <row r="52" customFormat="false" ht="15" hidden="false" customHeight="false" outlineLevel="0" collapsed="false">
      <c r="A52" s="41"/>
      <c r="B52" s="66"/>
      <c r="C52" s="66"/>
      <c r="D52" s="67"/>
      <c r="E52" s="68" t="str">
        <f aca="false">IF(D52="","",D52*5)</f>
        <v/>
      </c>
      <c r="F52" s="69" t="str">
        <f aca="false">IF(OR(A52="",B52="",E52=""),"",(B52+N(C52))/E52)</f>
        <v/>
      </c>
      <c r="G52" s="70"/>
      <c r="H52" s="70"/>
      <c r="I52" s="70"/>
      <c r="J52" s="70"/>
      <c r="K52" s="70"/>
      <c r="L52" s="69" t="str">
        <f aca="false">IF(F52="","",ROUND(24*F52*(N(G52)*(1+PctHE1)+N(H52)*(1+PctHE2)+N(I52)*(1+PctHE100)),2))</f>
        <v/>
      </c>
      <c r="M52" s="69" t="str">
        <f aca="false">IF(F52="","",ROUND(24*F52*PctNot*(N(J52)+N(K52)*PctHE1),2))</f>
        <v/>
      </c>
      <c r="N52" s="69" t="str">
        <f aca="false">IF(OR(F52="",DiasUteis=0),"",ROUND((L52+M52)/DiasUteis*DiasDescanso,2))</f>
        <v/>
      </c>
      <c r="O52" s="71" t="str">
        <f aca="false">IF(F52="","",L52+M52+N52)</f>
        <v/>
      </c>
    </row>
    <row r="53" customFormat="false" ht="15" hidden="false" customHeight="false" outlineLevel="0" collapsed="false">
      <c r="A53" s="41"/>
      <c r="B53" s="66"/>
      <c r="C53" s="66"/>
      <c r="D53" s="67"/>
      <c r="E53" s="68" t="str">
        <f aca="false">IF(D53="","",D53*5)</f>
        <v/>
      </c>
      <c r="F53" s="69" t="str">
        <f aca="false">IF(OR(A53="",B53="",E53=""),"",(B53+N(C53))/E53)</f>
        <v/>
      </c>
      <c r="G53" s="70"/>
      <c r="H53" s="70"/>
      <c r="I53" s="70"/>
      <c r="J53" s="70"/>
      <c r="K53" s="70"/>
      <c r="L53" s="69" t="str">
        <f aca="false">IF(F53="","",ROUND(24*F53*(N(G53)*(1+PctHE1)+N(H53)*(1+PctHE2)+N(I53)*(1+PctHE100)),2))</f>
        <v/>
      </c>
      <c r="M53" s="69" t="str">
        <f aca="false">IF(F53="","",ROUND(24*F53*PctNot*(N(J53)+N(K53)*PctHE1),2))</f>
        <v/>
      </c>
      <c r="N53" s="69" t="str">
        <f aca="false">IF(OR(F53="",DiasUteis=0),"",ROUND((L53+M53)/DiasUteis*DiasDescanso,2))</f>
        <v/>
      </c>
      <c r="O53" s="71" t="str">
        <f aca="false">IF(F53="","",L53+M53+N53)</f>
        <v/>
      </c>
    </row>
    <row r="54" customFormat="false" ht="15" hidden="false" customHeight="false" outlineLevel="0" collapsed="false">
      <c r="A54" s="41"/>
      <c r="B54" s="66"/>
      <c r="C54" s="66"/>
      <c r="D54" s="67"/>
      <c r="E54" s="68" t="str">
        <f aca="false">IF(D54="","",D54*5)</f>
        <v/>
      </c>
      <c r="F54" s="69" t="str">
        <f aca="false">IF(OR(A54="",B54="",E54=""),"",(B54+N(C54))/E54)</f>
        <v/>
      </c>
      <c r="G54" s="70"/>
      <c r="H54" s="70"/>
      <c r="I54" s="70"/>
      <c r="J54" s="70"/>
      <c r="K54" s="70"/>
      <c r="L54" s="69" t="str">
        <f aca="false">IF(F54="","",ROUND(24*F54*(N(G54)*(1+PctHE1)+N(H54)*(1+PctHE2)+N(I54)*(1+PctHE100)),2))</f>
        <v/>
      </c>
      <c r="M54" s="69" t="str">
        <f aca="false">IF(F54="","",ROUND(24*F54*PctNot*(N(J54)+N(K54)*PctHE1),2))</f>
        <v/>
      </c>
      <c r="N54" s="69" t="str">
        <f aca="false">IF(OR(F54="",DiasUteis=0),"",ROUND((L54+M54)/DiasUteis*DiasDescanso,2))</f>
        <v/>
      </c>
      <c r="O54" s="71" t="str">
        <f aca="false">IF(F54="","",L54+M54+N54)</f>
        <v/>
      </c>
    </row>
    <row r="55" customFormat="false" ht="15" hidden="false" customHeight="false" outlineLevel="0" collapsed="false">
      <c r="A55" s="50" t="s">
        <v>199</v>
      </c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72" t="n">
        <f aca="false">SUM(L5:L54)</f>
        <v>961.35</v>
      </c>
      <c r="M55" s="72" t="n">
        <f aca="false">SUM(M5:M54)</f>
        <v>81.98</v>
      </c>
      <c r="N55" s="72" t="n">
        <f aca="false">SUM(N5:N54)</f>
        <v>200.65</v>
      </c>
      <c r="O55" s="72" t="n">
        <f aca="false">SUM(O5:O54)</f>
        <v>1243.98</v>
      </c>
    </row>
    <row r="57" customFormat="false" ht="15" hidden="false" customHeight="true" outlineLevel="0" collapsed="false">
      <c r="A57" s="12" t="s">
        <v>200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</row>
    <row r="58" customFormat="false" ht="15" hidden="false" customHeight="false" outlineLevel="0" collapsed="false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</row>
  </sheetData>
  <mergeCells count="7">
    <mergeCell ref="A1:O1"/>
    <mergeCell ref="A2:O2"/>
    <mergeCell ref="A3:F3"/>
    <mergeCell ref="G3:K3"/>
    <mergeCell ref="L3:O3"/>
    <mergeCell ref="A55:K55"/>
    <mergeCell ref="A57:O58"/>
  </mergeCells>
  <dataValidations count="1">
    <dataValidation allowBlank="true" error="Digite as horas no formato 12:30 (horas:minutos)." errorStyle="stop" errorTitle="Valor inválido" operator="between" showDropDown="false" showErrorMessage="true" showInputMessage="false" sqref="G5:K54" type="decimal">
      <formula1>0</formula1>
      <formula2>999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5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2"/>
    <col collapsed="false" customWidth="true" hidden="false" outlineLevel="0" max="3" min="3" style="0" width="11"/>
    <col collapsed="false" customWidth="true" hidden="false" outlineLevel="0" max="4" min="4" style="0" width="9"/>
    <col collapsed="false" customWidth="true" hidden="false" outlineLevel="0" max="5" min="5" style="0" width="28"/>
    <col collapsed="false" customWidth="true" hidden="false" outlineLevel="0" max="6" min="6" style="0" width="11"/>
    <col collapsed="false" customWidth="true" hidden="false" outlineLevel="0" max="7" min="7" style="0" width="3"/>
    <col collapsed="false" customWidth="true" hidden="false" outlineLevel="0" max="8" min="8" style="0" width="22"/>
    <col collapsed="false" customWidth="true" hidden="false" outlineLevel="0" max="11" min="9" style="0" width="10"/>
    <col collapsed="false" customWidth="true" hidden="false" outlineLevel="0" max="13" min="12" style="0" width="13"/>
    <col collapsed="false" customWidth="true" hidden="false" outlineLevel="0" max="14" min="14" style="0" width="11"/>
    <col collapsed="false" customWidth="true" hidden="false" outlineLevel="0" max="15" min="15" style="0" width="13"/>
    <col collapsed="false" customWidth="true" hidden="false" outlineLevel="0" max="16" min="16" style="0" width="30"/>
  </cols>
  <sheetData>
    <row r="1" customFormat="false" ht="19.7" hidden="false" customHeight="false" outlineLevel="0" collapsed="false">
      <c r="A1" s="64" t="s">
        <v>201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customFormat="false" ht="15" hidden="false" customHeight="false" outlineLevel="0" collapsed="false">
      <c r="A2" s="65" t="str">
        <f aca="false">"Lance os créditos (horas a mais) e débitos (folgas e saídas compensadas). Prazo para compensar: "&amp;PrazoBanco&amp;" meses · Data de referência: "&amp;TEXT(DAY(DataRef),"00")&amp;"/"&amp;TEXT(MONTH(DataRef),"00")&amp;"/"&amp;YEAR(DataRef)</f>
        <v>Lance os créditos (horas a mais) e débitos (folgas e saídas compensadas). Prazo para compensar: 6 meses · Data de referência: 07/10/2026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</row>
    <row r="3" customFormat="false" ht="15" hidden="false" customHeight="true" outlineLevel="0" collapsed="false">
      <c r="A3" s="38" t="s">
        <v>202</v>
      </c>
      <c r="B3" s="38"/>
      <c r="C3" s="38"/>
      <c r="D3" s="38"/>
      <c r="E3" s="38"/>
      <c r="F3" s="38"/>
      <c r="H3" s="38" t="s">
        <v>203</v>
      </c>
      <c r="I3" s="38"/>
      <c r="J3" s="38"/>
      <c r="K3" s="38"/>
      <c r="L3" s="38"/>
      <c r="M3" s="38"/>
      <c r="N3" s="38"/>
      <c r="O3" s="38"/>
      <c r="P3" s="38"/>
    </row>
    <row r="4" customFormat="false" ht="30" hidden="false" customHeight="true" outlineLevel="0" collapsed="false">
      <c r="A4" s="40" t="s">
        <v>107</v>
      </c>
      <c r="B4" s="40" t="s">
        <v>122</v>
      </c>
      <c r="C4" s="40" t="s">
        <v>204</v>
      </c>
      <c r="D4" s="40" t="s">
        <v>137</v>
      </c>
      <c r="E4" s="40" t="s">
        <v>205</v>
      </c>
      <c r="F4" s="40" t="s">
        <v>206</v>
      </c>
      <c r="H4" s="40" t="s">
        <v>122</v>
      </c>
      <c r="I4" s="40" t="s">
        <v>207</v>
      </c>
      <c r="J4" s="40" t="s">
        <v>208</v>
      </c>
      <c r="K4" s="40" t="s">
        <v>209</v>
      </c>
      <c r="L4" s="40" t="s">
        <v>210</v>
      </c>
      <c r="M4" s="40" t="s">
        <v>211</v>
      </c>
      <c r="N4" s="40" t="s">
        <v>52</v>
      </c>
      <c r="O4" s="40" t="s">
        <v>212</v>
      </c>
      <c r="P4" s="40" t="s">
        <v>213</v>
      </c>
    </row>
    <row r="5" customFormat="false" ht="15" hidden="false" customHeight="false" outlineLevel="0" collapsed="false">
      <c r="A5" s="73" t="n">
        <v>46091</v>
      </c>
      <c r="B5" s="41" t="s">
        <v>123</v>
      </c>
      <c r="C5" s="67" t="s">
        <v>214</v>
      </c>
      <c r="D5" s="70" t="n">
        <v>0.0833333333333333</v>
      </c>
      <c r="E5" s="41" t="s">
        <v>215</v>
      </c>
      <c r="F5" s="74" t="n">
        <f aca="false">IF(AND(A5&lt;&gt;"",C5="Crédito"),EDATE(A5,PrazoBanco),"")</f>
        <v>46275</v>
      </c>
      <c r="H5" s="41" t="s">
        <v>123</v>
      </c>
      <c r="I5" s="75" t="n">
        <f aca="false">IF(H5="","",SUMIFS($D$5:$D$504,$B$5:$B$504,H5,$C$5:$C$504,"Crédito"))</f>
        <v>0.270833333333333</v>
      </c>
      <c r="J5" s="75" t="n">
        <f aca="false">IF(H5="","",SUMIFS($D$5:$D$504,$B$5:$B$504,H5,$C$5:$C$504,"Débito"))</f>
        <v>0.0416666666666667</v>
      </c>
      <c r="K5" s="76" t="str">
        <f aca="false">IF(H5="","",IF(I5-J5&lt;0,"-","")&amp;TEXT(ABS(I5-J5),"[h]:mm"))</f>
        <v>5:30</v>
      </c>
      <c r="L5" s="43" t="n">
        <f aca="false">IF(H5="","",MAX(0,SUMIFS($D$5:$D$504,$B$5:$B$504,H5,$C$5:$C$504,"Crédito",$A$5:$A$504,"&lt;="&amp;EDATE(DataRef,-PrazoBanco))-J5))</f>
        <v>0.104166666666667</v>
      </c>
      <c r="M5" s="43" t="n">
        <f aca="false">IF(H5="","",MAX(0,SUMIFS($D$5:$D$504,$B$5:$B$504,H5,$C$5:$C$504,"Crédito",$A$5:$A$504,"&lt;="&amp;EDATE(DataRef+30,-PrazoBanco))-J5)-L5)</f>
        <v>0</v>
      </c>
      <c r="N5" s="66" t="n">
        <v>10.91</v>
      </c>
      <c r="O5" s="69" t="n">
        <f aca="false">IF(OR(H5="",N5=""),"",ROUND(L5*24*N5*(1+PctHE1),2))</f>
        <v>40.91</v>
      </c>
      <c r="P5" s="77" t="str">
        <f aca="false">IF(H5="","",IF(L5&gt;0,"Horas vencidas: pagar como extra",IF(M5&gt;0,"Compensar nos próximos 30 dias",IF(I5-J5&lt;0,"Saldo negativo","Em dia"))))</f>
        <v>Horas vencidas: pagar como extra</v>
      </c>
    </row>
    <row r="6" customFormat="false" ht="15" hidden="false" customHeight="false" outlineLevel="0" collapsed="false">
      <c r="A6" s="73" t="n">
        <v>46105</v>
      </c>
      <c r="B6" s="41" t="s">
        <v>123</v>
      </c>
      <c r="C6" s="67" t="s">
        <v>214</v>
      </c>
      <c r="D6" s="70" t="n">
        <v>0.0625</v>
      </c>
      <c r="E6" s="41" t="s">
        <v>216</v>
      </c>
      <c r="F6" s="74" t="n">
        <f aca="false">IF(AND(A6&lt;&gt;"",C6="Crédito"),EDATE(A6,PrazoBanco),"")</f>
        <v>46289</v>
      </c>
      <c r="H6" s="41" t="s">
        <v>197</v>
      </c>
      <c r="I6" s="75" t="n">
        <f aca="false">IF(H6="","",SUMIFS($D$5:$D$504,$B$5:$B$504,H6,$C$5:$C$504,"Crédito"))</f>
        <v>0.166666666666667</v>
      </c>
      <c r="J6" s="75" t="n">
        <f aca="false">IF(H6="","",SUMIFS($D$5:$D$504,$B$5:$B$504,H6,$C$5:$C$504,"Débito"))</f>
        <v>0.333333333333333</v>
      </c>
      <c r="K6" s="76" t="str">
        <f aca="false">IF(H6="","",IF(I6-J6&lt;0,"-","")&amp;TEXT(ABS(I6-J6),"[h]:mm"))</f>
        <v>-4:00</v>
      </c>
      <c r="L6" s="43" t="n">
        <f aca="false">IF(H6="","",MAX(0,SUMIFS($D$5:$D$504,$B$5:$B$504,H6,$C$5:$C$504,"Crédito",$A$5:$A$504,"&lt;="&amp;EDATE(DataRef,-PrazoBanco))-J6))</f>
        <v>0</v>
      </c>
      <c r="M6" s="43" t="n">
        <f aca="false">IF(H6="","",MAX(0,SUMIFS($D$5:$D$504,$B$5:$B$504,H6,$C$5:$C$504,"Crédito",$A$5:$A$504,"&lt;="&amp;EDATE(DataRef+30,-PrazoBanco))-J6)-L6)</f>
        <v>0</v>
      </c>
      <c r="N6" s="66" t="n">
        <v>18.32</v>
      </c>
      <c r="O6" s="69" t="n">
        <f aca="false">IF(OR(H6="",N6=""),"",ROUND(L6*24*N6*(1+PctHE1),2))</f>
        <v>0</v>
      </c>
      <c r="P6" s="77" t="str">
        <f aca="false">IF(H6="","",IF(L6&gt;0,"Horas vencidas: pagar como extra",IF(M6&gt;0,"Compensar nos próximos 30 dias",IF(I6-J6&lt;0,"Saldo negativo","Em dia"))))</f>
        <v>Saldo negativo</v>
      </c>
    </row>
    <row r="7" customFormat="false" ht="15" hidden="false" customHeight="false" outlineLevel="0" collapsed="false">
      <c r="A7" s="73" t="n">
        <v>46150</v>
      </c>
      <c r="B7" s="41" t="s">
        <v>123</v>
      </c>
      <c r="C7" s="67" t="s">
        <v>217</v>
      </c>
      <c r="D7" s="70" t="n">
        <v>0.0416666666666667</v>
      </c>
      <c r="E7" s="41" t="s">
        <v>218</v>
      </c>
      <c r="F7" s="74" t="str">
        <f aca="false">IF(AND(A7&lt;&gt;"",C7="Crédito"),EDATE(A7,PrazoBanco),"")</f>
        <v/>
      </c>
      <c r="H7" s="41"/>
      <c r="I7" s="75" t="str">
        <f aca="false">IF(H7="","",SUMIFS($D$5:$D$504,$B$5:$B$504,H7,$C$5:$C$504,"Crédito"))</f>
        <v/>
      </c>
      <c r="J7" s="75" t="str">
        <f aca="false">IF(H7="","",SUMIFS($D$5:$D$504,$B$5:$B$504,H7,$C$5:$C$504,"Débito"))</f>
        <v/>
      </c>
      <c r="K7" s="76" t="str">
        <f aca="false">IF(H7="","",IF(I7-J7&lt;0,"-","")&amp;TEXT(ABS(I7-J7),"[h]:mm"))</f>
        <v/>
      </c>
      <c r="L7" s="43" t="str">
        <f aca="false">IF(H7="","",MAX(0,SUMIFS($D$5:$D$504,$B$5:$B$504,H7,$C$5:$C$504,"Crédito",$A$5:$A$504,"&lt;="&amp;EDATE(DataRef,-PrazoBanco))-J7))</f>
        <v/>
      </c>
      <c r="M7" s="43" t="str">
        <f aca="false">IF(H7="","",MAX(0,SUMIFS($D$5:$D$504,$B$5:$B$504,H7,$C$5:$C$504,"Crédito",$A$5:$A$504,"&lt;="&amp;EDATE(DataRef+30,-PrazoBanco))-J7)-L7)</f>
        <v/>
      </c>
      <c r="N7" s="66"/>
      <c r="O7" s="69" t="str">
        <f aca="false">IF(OR(H7="",N7=""),"",ROUND(L7*24*N7*(1+PctHE1),2))</f>
        <v/>
      </c>
      <c r="P7" s="77" t="str">
        <f aca="false">IF(H7="","",IF(L7&gt;0,"Horas vencidas: pagar como extra",IF(M7&gt;0,"Compensar nos próximos 30 dias",IF(I7-J7&lt;0,"Saldo negativo","Em dia"))))</f>
        <v/>
      </c>
    </row>
    <row r="8" customFormat="false" ht="15" hidden="false" customHeight="false" outlineLevel="0" collapsed="false">
      <c r="A8" s="73" t="n">
        <v>46248</v>
      </c>
      <c r="B8" s="41" t="s">
        <v>123</v>
      </c>
      <c r="C8" s="67" t="s">
        <v>214</v>
      </c>
      <c r="D8" s="70" t="n">
        <v>0.125</v>
      </c>
      <c r="E8" s="41" t="s">
        <v>219</v>
      </c>
      <c r="F8" s="74" t="n">
        <f aca="false">IF(AND(A8&lt;&gt;"",C8="Crédito"),EDATE(A8,PrazoBanco),"")</f>
        <v>46432</v>
      </c>
      <c r="H8" s="41"/>
      <c r="I8" s="75" t="str">
        <f aca="false">IF(H8="","",SUMIFS($D$5:$D$504,$B$5:$B$504,H8,$C$5:$C$504,"Crédito"))</f>
        <v/>
      </c>
      <c r="J8" s="75" t="str">
        <f aca="false">IF(H8="","",SUMIFS($D$5:$D$504,$B$5:$B$504,H8,$C$5:$C$504,"Débito"))</f>
        <v/>
      </c>
      <c r="K8" s="76" t="str">
        <f aca="false">IF(H8="","",IF(I8-J8&lt;0,"-","")&amp;TEXT(ABS(I8-J8),"[h]:mm"))</f>
        <v/>
      </c>
      <c r="L8" s="43" t="str">
        <f aca="false">IF(H8="","",MAX(0,SUMIFS($D$5:$D$504,$B$5:$B$504,H8,$C$5:$C$504,"Crédito",$A$5:$A$504,"&lt;="&amp;EDATE(DataRef,-PrazoBanco))-J8))</f>
        <v/>
      </c>
      <c r="M8" s="43" t="str">
        <f aca="false">IF(H8="","",MAX(0,SUMIFS($D$5:$D$504,$B$5:$B$504,H8,$C$5:$C$504,"Crédito",$A$5:$A$504,"&lt;="&amp;EDATE(DataRef+30,-PrazoBanco))-J8)-L8)</f>
        <v/>
      </c>
      <c r="N8" s="66"/>
      <c r="O8" s="69" t="str">
        <f aca="false">IF(OR(H8="",N8=""),"",ROUND(L8*24*N8*(1+PctHE1),2))</f>
        <v/>
      </c>
      <c r="P8" s="77" t="str">
        <f aca="false">IF(H8="","",IF(L8&gt;0,"Horas vencidas: pagar como extra",IF(M8&gt;0,"Compensar nos próximos 30 dias",IF(I8-J8&lt;0,"Saldo negativo","Em dia"))))</f>
        <v/>
      </c>
    </row>
    <row r="9" customFormat="false" ht="15" hidden="false" customHeight="false" outlineLevel="0" collapsed="false">
      <c r="A9" s="73" t="n">
        <v>46283</v>
      </c>
      <c r="B9" s="41" t="s">
        <v>197</v>
      </c>
      <c r="C9" s="67" t="s">
        <v>214</v>
      </c>
      <c r="D9" s="70" t="n">
        <v>0.166666666666667</v>
      </c>
      <c r="E9" s="41" t="s">
        <v>220</v>
      </c>
      <c r="F9" s="74" t="n">
        <f aca="false">IF(AND(A9&lt;&gt;"",C9="Crédito"),EDATE(A9,PrazoBanco),"")</f>
        <v>46464</v>
      </c>
      <c r="H9" s="41"/>
      <c r="I9" s="75" t="str">
        <f aca="false">IF(H9="","",SUMIFS($D$5:$D$504,$B$5:$B$504,H9,$C$5:$C$504,"Crédito"))</f>
        <v/>
      </c>
      <c r="J9" s="75" t="str">
        <f aca="false">IF(H9="","",SUMIFS($D$5:$D$504,$B$5:$B$504,H9,$C$5:$C$504,"Débito"))</f>
        <v/>
      </c>
      <c r="K9" s="76" t="str">
        <f aca="false">IF(H9="","",IF(I9-J9&lt;0,"-","")&amp;TEXT(ABS(I9-J9),"[h]:mm"))</f>
        <v/>
      </c>
      <c r="L9" s="43" t="str">
        <f aca="false">IF(H9="","",MAX(0,SUMIFS($D$5:$D$504,$B$5:$B$504,H9,$C$5:$C$504,"Crédito",$A$5:$A$504,"&lt;="&amp;EDATE(DataRef,-PrazoBanco))-J9))</f>
        <v/>
      </c>
      <c r="M9" s="43" t="str">
        <f aca="false">IF(H9="","",MAX(0,SUMIFS($D$5:$D$504,$B$5:$B$504,H9,$C$5:$C$504,"Crédito",$A$5:$A$504,"&lt;="&amp;EDATE(DataRef+30,-PrazoBanco))-J9)-L9)</f>
        <v/>
      </c>
      <c r="N9" s="66"/>
      <c r="O9" s="69" t="str">
        <f aca="false">IF(OR(H9="",N9=""),"",ROUND(L9*24*N9*(1+PctHE1),2))</f>
        <v/>
      </c>
      <c r="P9" s="77" t="str">
        <f aca="false">IF(H9="","",IF(L9&gt;0,"Horas vencidas: pagar como extra",IF(M9&gt;0,"Compensar nos próximos 30 dias",IF(I9-J9&lt;0,"Saldo negativo","Em dia"))))</f>
        <v/>
      </c>
    </row>
    <row r="10" customFormat="false" ht="15" hidden="false" customHeight="false" outlineLevel="0" collapsed="false">
      <c r="A10" s="73" t="n">
        <v>46290</v>
      </c>
      <c r="B10" s="41" t="s">
        <v>197</v>
      </c>
      <c r="C10" s="67" t="s">
        <v>217</v>
      </c>
      <c r="D10" s="70" t="n">
        <v>0.333333333333333</v>
      </c>
      <c r="E10" s="41" t="s">
        <v>221</v>
      </c>
      <c r="F10" s="74" t="str">
        <f aca="false">IF(AND(A10&lt;&gt;"",C10="Crédito"),EDATE(A10,PrazoBanco),"")</f>
        <v/>
      </c>
      <c r="H10" s="41"/>
      <c r="I10" s="75" t="str">
        <f aca="false">IF(H10="","",SUMIFS($D$5:$D$504,$B$5:$B$504,H10,$C$5:$C$504,"Crédito"))</f>
        <v/>
      </c>
      <c r="J10" s="75" t="str">
        <f aca="false">IF(H10="","",SUMIFS($D$5:$D$504,$B$5:$B$504,H10,$C$5:$C$504,"Débito"))</f>
        <v/>
      </c>
      <c r="K10" s="76" t="str">
        <f aca="false">IF(H10="","",IF(I10-J10&lt;0,"-","")&amp;TEXT(ABS(I10-J10),"[h]:mm"))</f>
        <v/>
      </c>
      <c r="L10" s="43" t="str">
        <f aca="false">IF(H10="","",MAX(0,SUMIFS($D$5:$D$504,$B$5:$B$504,H10,$C$5:$C$504,"Crédito",$A$5:$A$504,"&lt;="&amp;EDATE(DataRef,-PrazoBanco))-J10))</f>
        <v/>
      </c>
      <c r="M10" s="43" t="str">
        <f aca="false">IF(H10="","",MAX(0,SUMIFS($D$5:$D$504,$B$5:$B$504,H10,$C$5:$C$504,"Crédito",$A$5:$A$504,"&lt;="&amp;EDATE(DataRef+30,-PrazoBanco))-J10)-L10)</f>
        <v/>
      </c>
      <c r="N10" s="66"/>
      <c r="O10" s="69" t="str">
        <f aca="false">IF(OR(H10="",N10=""),"",ROUND(L10*24*N10*(1+PctHE1),2))</f>
        <v/>
      </c>
      <c r="P10" s="77" t="str">
        <f aca="false">IF(H10="","",IF(L10&gt;0,"Horas vencidas: pagar como extra",IF(M10&gt;0,"Compensar nos próximos 30 dias",IF(I10-J10&lt;0,"Saldo negativo","Em dia"))))</f>
        <v/>
      </c>
    </row>
    <row r="11" customFormat="false" ht="15" hidden="false" customHeight="false" outlineLevel="0" collapsed="false">
      <c r="A11" s="73"/>
      <c r="B11" s="41"/>
      <c r="C11" s="67"/>
      <c r="D11" s="70"/>
      <c r="E11" s="41"/>
      <c r="F11" s="74" t="str">
        <f aca="false">IF(AND(A11&lt;&gt;"",C11="Crédito"),EDATE(A11,PrazoBanco),"")</f>
        <v/>
      </c>
      <c r="H11" s="41"/>
      <c r="I11" s="75" t="str">
        <f aca="false">IF(H11="","",SUMIFS($D$5:$D$504,$B$5:$B$504,H11,$C$5:$C$504,"Crédito"))</f>
        <v/>
      </c>
      <c r="J11" s="75" t="str">
        <f aca="false">IF(H11="","",SUMIFS($D$5:$D$504,$B$5:$B$504,H11,$C$5:$C$504,"Débito"))</f>
        <v/>
      </c>
      <c r="K11" s="76" t="str">
        <f aca="false">IF(H11="","",IF(I11-J11&lt;0,"-","")&amp;TEXT(ABS(I11-J11),"[h]:mm"))</f>
        <v/>
      </c>
      <c r="L11" s="43" t="str">
        <f aca="false">IF(H11="","",MAX(0,SUMIFS($D$5:$D$504,$B$5:$B$504,H11,$C$5:$C$504,"Crédito",$A$5:$A$504,"&lt;="&amp;EDATE(DataRef,-PrazoBanco))-J11))</f>
        <v/>
      </c>
      <c r="M11" s="43" t="str">
        <f aca="false">IF(H11="","",MAX(0,SUMIFS($D$5:$D$504,$B$5:$B$504,H11,$C$5:$C$504,"Crédito",$A$5:$A$504,"&lt;="&amp;EDATE(DataRef+30,-PrazoBanco))-J11)-L11)</f>
        <v/>
      </c>
      <c r="N11" s="66"/>
      <c r="O11" s="69" t="str">
        <f aca="false">IF(OR(H11="",N11=""),"",ROUND(L11*24*N11*(1+PctHE1),2))</f>
        <v/>
      </c>
      <c r="P11" s="77" t="str">
        <f aca="false">IF(H11="","",IF(L11&gt;0,"Horas vencidas: pagar como extra",IF(M11&gt;0,"Compensar nos próximos 30 dias",IF(I11-J11&lt;0,"Saldo negativo","Em dia"))))</f>
        <v/>
      </c>
    </row>
    <row r="12" customFormat="false" ht="15" hidden="false" customHeight="false" outlineLevel="0" collapsed="false">
      <c r="A12" s="73"/>
      <c r="B12" s="41"/>
      <c r="C12" s="67"/>
      <c r="D12" s="70"/>
      <c r="E12" s="41"/>
      <c r="F12" s="74" t="str">
        <f aca="false">IF(AND(A12&lt;&gt;"",C12="Crédito"),EDATE(A12,PrazoBanco),"")</f>
        <v/>
      </c>
      <c r="H12" s="41"/>
      <c r="I12" s="75" t="str">
        <f aca="false">IF(H12="","",SUMIFS($D$5:$D$504,$B$5:$B$504,H12,$C$5:$C$504,"Crédito"))</f>
        <v/>
      </c>
      <c r="J12" s="75" t="str">
        <f aca="false">IF(H12="","",SUMIFS($D$5:$D$504,$B$5:$B$504,H12,$C$5:$C$504,"Débito"))</f>
        <v/>
      </c>
      <c r="K12" s="76" t="str">
        <f aca="false">IF(H12="","",IF(I12-J12&lt;0,"-","")&amp;TEXT(ABS(I12-J12),"[h]:mm"))</f>
        <v/>
      </c>
      <c r="L12" s="43" t="str">
        <f aca="false">IF(H12="","",MAX(0,SUMIFS($D$5:$D$504,$B$5:$B$504,H12,$C$5:$C$504,"Crédito",$A$5:$A$504,"&lt;="&amp;EDATE(DataRef,-PrazoBanco))-J12))</f>
        <v/>
      </c>
      <c r="M12" s="43" t="str">
        <f aca="false">IF(H12="","",MAX(0,SUMIFS($D$5:$D$504,$B$5:$B$504,H12,$C$5:$C$504,"Crédito",$A$5:$A$504,"&lt;="&amp;EDATE(DataRef+30,-PrazoBanco))-J12)-L12)</f>
        <v/>
      </c>
      <c r="N12" s="66"/>
      <c r="O12" s="69" t="str">
        <f aca="false">IF(OR(H12="",N12=""),"",ROUND(L12*24*N12*(1+PctHE1),2))</f>
        <v/>
      </c>
      <c r="P12" s="77" t="str">
        <f aca="false">IF(H12="","",IF(L12&gt;0,"Horas vencidas: pagar como extra",IF(M12&gt;0,"Compensar nos próximos 30 dias",IF(I12-J12&lt;0,"Saldo negativo","Em dia"))))</f>
        <v/>
      </c>
    </row>
    <row r="13" customFormat="false" ht="15" hidden="false" customHeight="false" outlineLevel="0" collapsed="false">
      <c r="A13" s="73"/>
      <c r="B13" s="41"/>
      <c r="C13" s="67"/>
      <c r="D13" s="70"/>
      <c r="E13" s="41"/>
      <c r="F13" s="74" t="str">
        <f aca="false">IF(AND(A13&lt;&gt;"",C13="Crédito"),EDATE(A13,PrazoBanco),"")</f>
        <v/>
      </c>
      <c r="H13" s="41"/>
      <c r="I13" s="75" t="str">
        <f aca="false">IF(H13="","",SUMIFS($D$5:$D$504,$B$5:$B$504,H13,$C$5:$C$504,"Crédito"))</f>
        <v/>
      </c>
      <c r="J13" s="75" t="str">
        <f aca="false">IF(H13="","",SUMIFS($D$5:$D$504,$B$5:$B$504,H13,$C$5:$C$504,"Débito"))</f>
        <v/>
      </c>
      <c r="K13" s="76" t="str">
        <f aca="false">IF(H13="","",IF(I13-J13&lt;0,"-","")&amp;TEXT(ABS(I13-J13),"[h]:mm"))</f>
        <v/>
      </c>
      <c r="L13" s="43" t="str">
        <f aca="false">IF(H13="","",MAX(0,SUMIFS($D$5:$D$504,$B$5:$B$504,H13,$C$5:$C$504,"Crédito",$A$5:$A$504,"&lt;="&amp;EDATE(DataRef,-PrazoBanco))-J13))</f>
        <v/>
      </c>
      <c r="M13" s="43" t="str">
        <f aca="false">IF(H13="","",MAX(0,SUMIFS($D$5:$D$504,$B$5:$B$504,H13,$C$5:$C$504,"Crédito",$A$5:$A$504,"&lt;="&amp;EDATE(DataRef+30,-PrazoBanco))-J13)-L13)</f>
        <v/>
      </c>
      <c r="N13" s="66"/>
      <c r="O13" s="69" t="str">
        <f aca="false">IF(OR(H13="",N13=""),"",ROUND(L13*24*N13*(1+PctHE1),2))</f>
        <v/>
      </c>
      <c r="P13" s="77" t="str">
        <f aca="false">IF(H13="","",IF(L13&gt;0,"Horas vencidas: pagar como extra",IF(M13&gt;0,"Compensar nos próximos 30 dias",IF(I13-J13&lt;0,"Saldo negativo","Em dia"))))</f>
        <v/>
      </c>
    </row>
    <row r="14" customFormat="false" ht="15" hidden="false" customHeight="false" outlineLevel="0" collapsed="false">
      <c r="A14" s="73"/>
      <c r="B14" s="41"/>
      <c r="C14" s="67"/>
      <c r="D14" s="70"/>
      <c r="E14" s="41"/>
      <c r="F14" s="74" t="str">
        <f aca="false">IF(AND(A14&lt;&gt;"",C14="Crédito"),EDATE(A14,PrazoBanco),"")</f>
        <v/>
      </c>
      <c r="H14" s="41"/>
      <c r="I14" s="75" t="str">
        <f aca="false">IF(H14="","",SUMIFS($D$5:$D$504,$B$5:$B$504,H14,$C$5:$C$504,"Crédito"))</f>
        <v/>
      </c>
      <c r="J14" s="75" t="str">
        <f aca="false">IF(H14="","",SUMIFS($D$5:$D$504,$B$5:$B$504,H14,$C$5:$C$504,"Débito"))</f>
        <v/>
      </c>
      <c r="K14" s="76" t="str">
        <f aca="false">IF(H14="","",IF(I14-J14&lt;0,"-","")&amp;TEXT(ABS(I14-J14),"[h]:mm"))</f>
        <v/>
      </c>
      <c r="L14" s="43" t="str">
        <f aca="false">IF(H14="","",MAX(0,SUMIFS($D$5:$D$504,$B$5:$B$504,H14,$C$5:$C$504,"Crédito",$A$5:$A$504,"&lt;="&amp;EDATE(DataRef,-PrazoBanco))-J14))</f>
        <v/>
      </c>
      <c r="M14" s="43" t="str">
        <f aca="false">IF(H14="","",MAX(0,SUMIFS($D$5:$D$504,$B$5:$B$504,H14,$C$5:$C$504,"Crédito",$A$5:$A$504,"&lt;="&amp;EDATE(DataRef+30,-PrazoBanco))-J14)-L14)</f>
        <v/>
      </c>
      <c r="N14" s="66"/>
      <c r="O14" s="69" t="str">
        <f aca="false">IF(OR(H14="",N14=""),"",ROUND(L14*24*N14*(1+PctHE1),2))</f>
        <v/>
      </c>
      <c r="P14" s="77" t="str">
        <f aca="false">IF(H14="","",IF(L14&gt;0,"Horas vencidas: pagar como extra",IF(M14&gt;0,"Compensar nos próximos 30 dias",IF(I14-J14&lt;0,"Saldo negativo","Em dia"))))</f>
        <v/>
      </c>
    </row>
    <row r="15" customFormat="false" ht="15" hidden="false" customHeight="false" outlineLevel="0" collapsed="false">
      <c r="A15" s="73"/>
      <c r="B15" s="41"/>
      <c r="C15" s="67"/>
      <c r="D15" s="70"/>
      <c r="E15" s="41"/>
      <c r="F15" s="74" t="str">
        <f aca="false">IF(AND(A15&lt;&gt;"",C15="Crédito"),EDATE(A15,PrazoBanco),"")</f>
        <v/>
      </c>
      <c r="H15" s="41"/>
      <c r="I15" s="75" t="str">
        <f aca="false">IF(H15="","",SUMIFS($D$5:$D$504,$B$5:$B$504,H15,$C$5:$C$504,"Crédito"))</f>
        <v/>
      </c>
      <c r="J15" s="75" t="str">
        <f aca="false">IF(H15="","",SUMIFS($D$5:$D$504,$B$5:$B$504,H15,$C$5:$C$504,"Débito"))</f>
        <v/>
      </c>
      <c r="K15" s="76" t="str">
        <f aca="false">IF(H15="","",IF(I15-J15&lt;0,"-","")&amp;TEXT(ABS(I15-J15),"[h]:mm"))</f>
        <v/>
      </c>
      <c r="L15" s="43" t="str">
        <f aca="false">IF(H15="","",MAX(0,SUMIFS($D$5:$D$504,$B$5:$B$504,H15,$C$5:$C$504,"Crédito",$A$5:$A$504,"&lt;="&amp;EDATE(DataRef,-PrazoBanco))-J15))</f>
        <v/>
      </c>
      <c r="M15" s="43" t="str">
        <f aca="false">IF(H15="","",MAX(0,SUMIFS($D$5:$D$504,$B$5:$B$504,H15,$C$5:$C$504,"Crédito",$A$5:$A$504,"&lt;="&amp;EDATE(DataRef+30,-PrazoBanco))-J15)-L15)</f>
        <v/>
      </c>
      <c r="N15" s="66"/>
      <c r="O15" s="69" t="str">
        <f aca="false">IF(OR(H15="",N15=""),"",ROUND(L15*24*N15*(1+PctHE1),2))</f>
        <v/>
      </c>
      <c r="P15" s="77" t="str">
        <f aca="false">IF(H15="","",IF(L15&gt;0,"Horas vencidas: pagar como extra",IF(M15&gt;0,"Compensar nos próximos 30 dias",IF(I15-J15&lt;0,"Saldo negativo","Em dia"))))</f>
        <v/>
      </c>
    </row>
    <row r="16" customFormat="false" ht="15" hidden="false" customHeight="false" outlineLevel="0" collapsed="false">
      <c r="A16" s="73"/>
      <c r="B16" s="41"/>
      <c r="C16" s="67"/>
      <c r="D16" s="70"/>
      <c r="E16" s="41"/>
      <c r="F16" s="74" t="str">
        <f aca="false">IF(AND(A16&lt;&gt;"",C16="Crédito"),EDATE(A16,PrazoBanco),"")</f>
        <v/>
      </c>
      <c r="H16" s="41"/>
      <c r="I16" s="75" t="str">
        <f aca="false">IF(H16="","",SUMIFS($D$5:$D$504,$B$5:$B$504,H16,$C$5:$C$504,"Crédito"))</f>
        <v/>
      </c>
      <c r="J16" s="75" t="str">
        <f aca="false">IF(H16="","",SUMIFS($D$5:$D$504,$B$5:$B$504,H16,$C$5:$C$504,"Débito"))</f>
        <v/>
      </c>
      <c r="K16" s="76" t="str">
        <f aca="false">IF(H16="","",IF(I16-J16&lt;0,"-","")&amp;TEXT(ABS(I16-J16),"[h]:mm"))</f>
        <v/>
      </c>
      <c r="L16" s="43" t="str">
        <f aca="false">IF(H16="","",MAX(0,SUMIFS($D$5:$D$504,$B$5:$B$504,H16,$C$5:$C$504,"Crédito",$A$5:$A$504,"&lt;="&amp;EDATE(DataRef,-PrazoBanco))-J16))</f>
        <v/>
      </c>
      <c r="M16" s="43" t="str">
        <f aca="false">IF(H16="","",MAX(0,SUMIFS($D$5:$D$504,$B$5:$B$504,H16,$C$5:$C$504,"Crédito",$A$5:$A$504,"&lt;="&amp;EDATE(DataRef+30,-PrazoBanco))-J16)-L16)</f>
        <v/>
      </c>
      <c r="N16" s="66"/>
      <c r="O16" s="69" t="str">
        <f aca="false">IF(OR(H16="",N16=""),"",ROUND(L16*24*N16*(1+PctHE1),2))</f>
        <v/>
      </c>
      <c r="P16" s="77" t="str">
        <f aca="false">IF(H16="","",IF(L16&gt;0,"Horas vencidas: pagar como extra",IF(M16&gt;0,"Compensar nos próximos 30 dias",IF(I16-J16&lt;0,"Saldo negativo","Em dia"))))</f>
        <v/>
      </c>
    </row>
    <row r="17" customFormat="false" ht="15" hidden="false" customHeight="false" outlineLevel="0" collapsed="false">
      <c r="A17" s="73"/>
      <c r="B17" s="41"/>
      <c r="C17" s="67"/>
      <c r="D17" s="70"/>
      <c r="E17" s="41"/>
      <c r="F17" s="74" t="str">
        <f aca="false">IF(AND(A17&lt;&gt;"",C17="Crédito"),EDATE(A17,PrazoBanco),"")</f>
        <v/>
      </c>
      <c r="H17" s="41"/>
      <c r="I17" s="75" t="str">
        <f aca="false">IF(H17="","",SUMIFS($D$5:$D$504,$B$5:$B$504,H17,$C$5:$C$504,"Crédito"))</f>
        <v/>
      </c>
      <c r="J17" s="75" t="str">
        <f aca="false">IF(H17="","",SUMIFS($D$5:$D$504,$B$5:$B$504,H17,$C$5:$C$504,"Débito"))</f>
        <v/>
      </c>
      <c r="K17" s="76" t="str">
        <f aca="false">IF(H17="","",IF(I17-J17&lt;0,"-","")&amp;TEXT(ABS(I17-J17),"[h]:mm"))</f>
        <v/>
      </c>
      <c r="L17" s="43" t="str">
        <f aca="false">IF(H17="","",MAX(0,SUMIFS($D$5:$D$504,$B$5:$B$504,H17,$C$5:$C$504,"Crédito",$A$5:$A$504,"&lt;="&amp;EDATE(DataRef,-PrazoBanco))-J17))</f>
        <v/>
      </c>
      <c r="M17" s="43" t="str">
        <f aca="false">IF(H17="","",MAX(0,SUMIFS($D$5:$D$504,$B$5:$B$504,H17,$C$5:$C$504,"Crédito",$A$5:$A$504,"&lt;="&amp;EDATE(DataRef+30,-PrazoBanco))-J17)-L17)</f>
        <v/>
      </c>
      <c r="N17" s="66"/>
      <c r="O17" s="69" t="str">
        <f aca="false">IF(OR(H17="",N17=""),"",ROUND(L17*24*N17*(1+PctHE1),2))</f>
        <v/>
      </c>
      <c r="P17" s="77" t="str">
        <f aca="false">IF(H17="","",IF(L17&gt;0,"Horas vencidas: pagar como extra",IF(M17&gt;0,"Compensar nos próximos 30 dias",IF(I17-J17&lt;0,"Saldo negativo","Em dia"))))</f>
        <v/>
      </c>
    </row>
    <row r="18" customFormat="false" ht="15" hidden="false" customHeight="false" outlineLevel="0" collapsed="false">
      <c r="A18" s="73"/>
      <c r="B18" s="41"/>
      <c r="C18" s="67"/>
      <c r="D18" s="70"/>
      <c r="E18" s="41"/>
      <c r="F18" s="74" t="str">
        <f aca="false">IF(AND(A18&lt;&gt;"",C18="Crédito"),EDATE(A18,PrazoBanco),"")</f>
        <v/>
      </c>
      <c r="H18" s="41"/>
      <c r="I18" s="75" t="str">
        <f aca="false">IF(H18="","",SUMIFS($D$5:$D$504,$B$5:$B$504,H18,$C$5:$C$504,"Crédito"))</f>
        <v/>
      </c>
      <c r="J18" s="75" t="str">
        <f aca="false">IF(H18="","",SUMIFS($D$5:$D$504,$B$5:$B$504,H18,$C$5:$C$504,"Débito"))</f>
        <v/>
      </c>
      <c r="K18" s="76" t="str">
        <f aca="false">IF(H18="","",IF(I18-J18&lt;0,"-","")&amp;TEXT(ABS(I18-J18),"[h]:mm"))</f>
        <v/>
      </c>
      <c r="L18" s="43" t="str">
        <f aca="false">IF(H18="","",MAX(0,SUMIFS($D$5:$D$504,$B$5:$B$504,H18,$C$5:$C$504,"Crédito",$A$5:$A$504,"&lt;="&amp;EDATE(DataRef,-PrazoBanco))-J18))</f>
        <v/>
      </c>
      <c r="M18" s="43" t="str">
        <f aca="false">IF(H18="","",MAX(0,SUMIFS($D$5:$D$504,$B$5:$B$504,H18,$C$5:$C$504,"Crédito",$A$5:$A$504,"&lt;="&amp;EDATE(DataRef+30,-PrazoBanco))-J18)-L18)</f>
        <v/>
      </c>
      <c r="N18" s="66"/>
      <c r="O18" s="69" t="str">
        <f aca="false">IF(OR(H18="",N18=""),"",ROUND(L18*24*N18*(1+PctHE1),2))</f>
        <v/>
      </c>
      <c r="P18" s="77" t="str">
        <f aca="false">IF(H18="","",IF(L18&gt;0,"Horas vencidas: pagar como extra",IF(M18&gt;0,"Compensar nos próximos 30 dias",IF(I18-J18&lt;0,"Saldo negativo","Em dia"))))</f>
        <v/>
      </c>
    </row>
    <row r="19" customFormat="false" ht="15" hidden="false" customHeight="false" outlineLevel="0" collapsed="false">
      <c r="A19" s="73"/>
      <c r="B19" s="41"/>
      <c r="C19" s="67"/>
      <c r="D19" s="70"/>
      <c r="E19" s="41"/>
      <c r="F19" s="74" t="str">
        <f aca="false">IF(AND(A19&lt;&gt;"",C19="Crédito"),EDATE(A19,PrazoBanco),"")</f>
        <v/>
      </c>
      <c r="H19" s="41"/>
      <c r="I19" s="75" t="str">
        <f aca="false">IF(H19="","",SUMIFS($D$5:$D$504,$B$5:$B$504,H19,$C$5:$C$504,"Crédito"))</f>
        <v/>
      </c>
      <c r="J19" s="75" t="str">
        <f aca="false">IF(H19="","",SUMIFS($D$5:$D$504,$B$5:$B$504,H19,$C$5:$C$504,"Débito"))</f>
        <v/>
      </c>
      <c r="K19" s="76" t="str">
        <f aca="false">IF(H19="","",IF(I19-J19&lt;0,"-","")&amp;TEXT(ABS(I19-J19),"[h]:mm"))</f>
        <v/>
      </c>
      <c r="L19" s="43" t="str">
        <f aca="false">IF(H19="","",MAX(0,SUMIFS($D$5:$D$504,$B$5:$B$504,H19,$C$5:$C$504,"Crédito",$A$5:$A$504,"&lt;="&amp;EDATE(DataRef,-PrazoBanco))-J19))</f>
        <v/>
      </c>
      <c r="M19" s="43" t="str">
        <f aca="false">IF(H19="","",MAX(0,SUMIFS($D$5:$D$504,$B$5:$B$504,H19,$C$5:$C$504,"Crédito",$A$5:$A$504,"&lt;="&amp;EDATE(DataRef+30,-PrazoBanco))-J19)-L19)</f>
        <v/>
      </c>
      <c r="N19" s="66"/>
      <c r="O19" s="69" t="str">
        <f aca="false">IF(OR(H19="",N19=""),"",ROUND(L19*24*N19*(1+PctHE1),2))</f>
        <v/>
      </c>
      <c r="P19" s="77" t="str">
        <f aca="false">IF(H19="","",IF(L19&gt;0,"Horas vencidas: pagar como extra",IF(M19&gt;0,"Compensar nos próximos 30 dias",IF(I19-J19&lt;0,"Saldo negativo","Em dia"))))</f>
        <v/>
      </c>
    </row>
    <row r="20" customFormat="false" ht="15" hidden="false" customHeight="false" outlineLevel="0" collapsed="false">
      <c r="A20" s="73"/>
      <c r="B20" s="41"/>
      <c r="C20" s="67"/>
      <c r="D20" s="70"/>
      <c r="E20" s="41"/>
      <c r="F20" s="74" t="str">
        <f aca="false">IF(AND(A20&lt;&gt;"",C20="Crédito"),EDATE(A20,PrazoBanco),"")</f>
        <v/>
      </c>
      <c r="H20" s="41"/>
      <c r="I20" s="75" t="str">
        <f aca="false">IF(H20="","",SUMIFS($D$5:$D$504,$B$5:$B$504,H20,$C$5:$C$504,"Crédito"))</f>
        <v/>
      </c>
      <c r="J20" s="75" t="str">
        <f aca="false">IF(H20="","",SUMIFS($D$5:$D$504,$B$5:$B$504,H20,$C$5:$C$504,"Débito"))</f>
        <v/>
      </c>
      <c r="K20" s="76" t="str">
        <f aca="false">IF(H20="","",IF(I20-J20&lt;0,"-","")&amp;TEXT(ABS(I20-J20),"[h]:mm"))</f>
        <v/>
      </c>
      <c r="L20" s="43" t="str">
        <f aca="false">IF(H20="","",MAX(0,SUMIFS($D$5:$D$504,$B$5:$B$504,H20,$C$5:$C$504,"Crédito",$A$5:$A$504,"&lt;="&amp;EDATE(DataRef,-PrazoBanco))-J20))</f>
        <v/>
      </c>
      <c r="M20" s="43" t="str">
        <f aca="false">IF(H20="","",MAX(0,SUMIFS($D$5:$D$504,$B$5:$B$504,H20,$C$5:$C$504,"Crédito",$A$5:$A$504,"&lt;="&amp;EDATE(DataRef+30,-PrazoBanco))-J20)-L20)</f>
        <v/>
      </c>
      <c r="N20" s="66"/>
      <c r="O20" s="69" t="str">
        <f aca="false">IF(OR(H20="",N20=""),"",ROUND(L20*24*N20*(1+PctHE1),2))</f>
        <v/>
      </c>
      <c r="P20" s="77" t="str">
        <f aca="false">IF(H20="","",IF(L20&gt;0,"Horas vencidas: pagar como extra",IF(M20&gt;0,"Compensar nos próximos 30 dias",IF(I20-J20&lt;0,"Saldo negativo","Em dia"))))</f>
        <v/>
      </c>
    </row>
    <row r="21" customFormat="false" ht="15" hidden="false" customHeight="false" outlineLevel="0" collapsed="false">
      <c r="A21" s="73"/>
      <c r="B21" s="41"/>
      <c r="C21" s="67"/>
      <c r="D21" s="70"/>
      <c r="E21" s="41"/>
      <c r="F21" s="74" t="str">
        <f aca="false">IF(AND(A21&lt;&gt;"",C21="Crédito"),EDATE(A21,PrazoBanco),"")</f>
        <v/>
      </c>
      <c r="H21" s="41"/>
      <c r="I21" s="75" t="str">
        <f aca="false">IF(H21="","",SUMIFS($D$5:$D$504,$B$5:$B$504,H21,$C$5:$C$504,"Crédito"))</f>
        <v/>
      </c>
      <c r="J21" s="75" t="str">
        <f aca="false">IF(H21="","",SUMIFS($D$5:$D$504,$B$5:$B$504,H21,$C$5:$C$504,"Débito"))</f>
        <v/>
      </c>
      <c r="K21" s="76" t="str">
        <f aca="false">IF(H21="","",IF(I21-J21&lt;0,"-","")&amp;TEXT(ABS(I21-J21),"[h]:mm"))</f>
        <v/>
      </c>
      <c r="L21" s="43" t="str">
        <f aca="false">IF(H21="","",MAX(0,SUMIFS($D$5:$D$504,$B$5:$B$504,H21,$C$5:$C$504,"Crédito",$A$5:$A$504,"&lt;="&amp;EDATE(DataRef,-PrazoBanco))-J21))</f>
        <v/>
      </c>
      <c r="M21" s="43" t="str">
        <f aca="false">IF(H21="","",MAX(0,SUMIFS($D$5:$D$504,$B$5:$B$504,H21,$C$5:$C$504,"Crédito",$A$5:$A$504,"&lt;="&amp;EDATE(DataRef+30,-PrazoBanco))-J21)-L21)</f>
        <v/>
      </c>
      <c r="N21" s="66"/>
      <c r="O21" s="69" t="str">
        <f aca="false">IF(OR(H21="",N21=""),"",ROUND(L21*24*N21*(1+PctHE1),2))</f>
        <v/>
      </c>
      <c r="P21" s="77" t="str">
        <f aca="false">IF(H21="","",IF(L21&gt;0,"Horas vencidas: pagar como extra",IF(M21&gt;0,"Compensar nos próximos 30 dias",IF(I21-J21&lt;0,"Saldo negativo","Em dia"))))</f>
        <v/>
      </c>
    </row>
    <row r="22" customFormat="false" ht="15" hidden="false" customHeight="false" outlineLevel="0" collapsed="false">
      <c r="A22" s="73"/>
      <c r="B22" s="41"/>
      <c r="C22" s="67"/>
      <c r="D22" s="70"/>
      <c r="E22" s="41"/>
      <c r="F22" s="74" t="str">
        <f aca="false">IF(AND(A22&lt;&gt;"",C22="Crédito"),EDATE(A22,PrazoBanco),"")</f>
        <v/>
      </c>
      <c r="H22" s="41"/>
      <c r="I22" s="75" t="str">
        <f aca="false">IF(H22="","",SUMIFS($D$5:$D$504,$B$5:$B$504,H22,$C$5:$C$504,"Crédito"))</f>
        <v/>
      </c>
      <c r="J22" s="75" t="str">
        <f aca="false">IF(H22="","",SUMIFS($D$5:$D$504,$B$5:$B$504,H22,$C$5:$C$504,"Débito"))</f>
        <v/>
      </c>
      <c r="K22" s="76" t="str">
        <f aca="false">IF(H22="","",IF(I22-J22&lt;0,"-","")&amp;TEXT(ABS(I22-J22),"[h]:mm"))</f>
        <v/>
      </c>
      <c r="L22" s="43" t="str">
        <f aca="false">IF(H22="","",MAX(0,SUMIFS($D$5:$D$504,$B$5:$B$504,H22,$C$5:$C$504,"Crédito",$A$5:$A$504,"&lt;="&amp;EDATE(DataRef,-PrazoBanco))-J22))</f>
        <v/>
      </c>
      <c r="M22" s="43" t="str">
        <f aca="false">IF(H22="","",MAX(0,SUMIFS($D$5:$D$504,$B$5:$B$504,H22,$C$5:$C$504,"Crédito",$A$5:$A$504,"&lt;="&amp;EDATE(DataRef+30,-PrazoBanco))-J22)-L22)</f>
        <v/>
      </c>
      <c r="N22" s="66"/>
      <c r="O22" s="69" t="str">
        <f aca="false">IF(OR(H22="",N22=""),"",ROUND(L22*24*N22*(1+PctHE1),2))</f>
        <v/>
      </c>
      <c r="P22" s="77" t="str">
        <f aca="false">IF(H22="","",IF(L22&gt;0,"Horas vencidas: pagar como extra",IF(M22&gt;0,"Compensar nos próximos 30 dias",IF(I22-J22&lt;0,"Saldo negativo","Em dia"))))</f>
        <v/>
      </c>
    </row>
    <row r="23" customFormat="false" ht="15" hidden="false" customHeight="false" outlineLevel="0" collapsed="false">
      <c r="A23" s="73"/>
      <c r="B23" s="41"/>
      <c r="C23" s="67"/>
      <c r="D23" s="70"/>
      <c r="E23" s="41"/>
      <c r="F23" s="74" t="str">
        <f aca="false">IF(AND(A23&lt;&gt;"",C23="Crédito"),EDATE(A23,PrazoBanco),"")</f>
        <v/>
      </c>
      <c r="H23" s="41"/>
      <c r="I23" s="75" t="str">
        <f aca="false">IF(H23="","",SUMIFS($D$5:$D$504,$B$5:$B$504,H23,$C$5:$C$504,"Crédito"))</f>
        <v/>
      </c>
      <c r="J23" s="75" t="str">
        <f aca="false">IF(H23="","",SUMIFS($D$5:$D$504,$B$5:$B$504,H23,$C$5:$C$504,"Débito"))</f>
        <v/>
      </c>
      <c r="K23" s="76" t="str">
        <f aca="false">IF(H23="","",IF(I23-J23&lt;0,"-","")&amp;TEXT(ABS(I23-J23),"[h]:mm"))</f>
        <v/>
      </c>
      <c r="L23" s="43" t="str">
        <f aca="false">IF(H23="","",MAX(0,SUMIFS($D$5:$D$504,$B$5:$B$504,H23,$C$5:$C$504,"Crédito",$A$5:$A$504,"&lt;="&amp;EDATE(DataRef,-PrazoBanco))-J23))</f>
        <v/>
      </c>
      <c r="M23" s="43" t="str">
        <f aca="false">IF(H23="","",MAX(0,SUMIFS($D$5:$D$504,$B$5:$B$504,H23,$C$5:$C$504,"Crédito",$A$5:$A$504,"&lt;="&amp;EDATE(DataRef+30,-PrazoBanco))-J23)-L23)</f>
        <v/>
      </c>
      <c r="N23" s="66"/>
      <c r="O23" s="69" t="str">
        <f aca="false">IF(OR(H23="",N23=""),"",ROUND(L23*24*N23*(1+PctHE1),2))</f>
        <v/>
      </c>
      <c r="P23" s="77" t="str">
        <f aca="false">IF(H23="","",IF(L23&gt;0,"Horas vencidas: pagar como extra",IF(M23&gt;0,"Compensar nos próximos 30 dias",IF(I23-J23&lt;0,"Saldo negativo","Em dia"))))</f>
        <v/>
      </c>
    </row>
    <row r="24" customFormat="false" ht="15" hidden="false" customHeight="false" outlineLevel="0" collapsed="false">
      <c r="A24" s="73"/>
      <c r="B24" s="41"/>
      <c r="C24" s="67"/>
      <c r="D24" s="70"/>
      <c r="E24" s="41"/>
      <c r="F24" s="74" t="str">
        <f aca="false">IF(AND(A24&lt;&gt;"",C24="Crédito"),EDATE(A24,PrazoBanco),"")</f>
        <v/>
      </c>
      <c r="H24" s="41"/>
      <c r="I24" s="75" t="str">
        <f aca="false">IF(H24="","",SUMIFS($D$5:$D$504,$B$5:$B$504,H24,$C$5:$C$504,"Crédito"))</f>
        <v/>
      </c>
      <c r="J24" s="75" t="str">
        <f aca="false">IF(H24="","",SUMIFS($D$5:$D$504,$B$5:$B$504,H24,$C$5:$C$504,"Débito"))</f>
        <v/>
      </c>
      <c r="K24" s="76" t="str">
        <f aca="false">IF(H24="","",IF(I24-J24&lt;0,"-","")&amp;TEXT(ABS(I24-J24),"[h]:mm"))</f>
        <v/>
      </c>
      <c r="L24" s="43" t="str">
        <f aca="false">IF(H24="","",MAX(0,SUMIFS($D$5:$D$504,$B$5:$B$504,H24,$C$5:$C$504,"Crédito",$A$5:$A$504,"&lt;="&amp;EDATE(DataRef,-PrazoBanco))-J24))</f>
        <v/>
      </c>
      <c r="M24" s="43" t="str">
        <f aca="false">IF(H24="","",MAX(0,SUMIFS($D$5:$D$504,$B$5:$B$504,H24,$C$5:$C$504,"Crédito",$A$5:$A$504,"&lt;="&amp;EDATE(DataRef+30,-PrazoBanco))-J24)-L24)</f>
        <v/>
      </c>
      <c r="N24" s="66"/>
      <c r="O24" s="69" t="str">
        <f aca="false">IF(OR(H24="",N24=""),"",ROUND(L24*24*N24*(1+PctHE1),2))</f>
        <v/>
      </c>
      <c r="P24" s="77" t="str">
        <f aca="false">IF(H24="","",IF(L24&gt;0,"Horas vencidas: pagar como extra",IF(M24&gt;0,"Compensar nos próximos 30 dias",IF(I24-J24&lt;0,"Saldo negativo","Em dia"))))</f>
        <v/>
      </c>
    </row>
    <row r="25" customFormat="false" ht="15" hidden="false" customHeight="false" outlineLevel="0" collapsed="false">
      <c r="A25" s="73"/>
      <c r="B25" s="41"/>
      <c r="C25" s="67"/>
      <c r="D25" s="70"/>
      <c r="E25" s="41"/>
      <c r="F25" s="74" t="str">
        <f aca="false">IF(AND(A25&lt;&gt;"",C25="Crédito"),EDATE(A25,PrazoBanco),"")</f>
        <v/>
      </c>
      <c r="H25" s="41"/>
      <c r="I25" s="75" t="str">
        <f aca="false">IF(H25="","",SUMIFS($D$5:$D$504,$B$5:$B$504,H25,$C$5:$C$504,"Crédito"))</f>
        <v/>
      </c>
      <c r="J25" s="75" t="str">
        <f aca="false">IF(H25="","",SUMIFS($D$5:$D$504,$B$5:$B$504,H25,$C$5:$C$504,"Débito"))</f>
        <v/>
      </c>
      <c r="K25" s="76" t="str">
        <f aca="false">IF(H25="","",IF(I25-J25&lt;0,"-","")&amp;TEXT(ABS(I25-J25),"[h]:mm"))</f>
        <v/>
      </c>
      <c r="L25" s="43" t="str">
        <f aca="false">IF(H25="","",MAX(0,SUMIFS($D$5:$D$504,$B$5:$B$504,H25,$C$5:$C$504,"Crédito",$A$5:$A$504,"&lt;="&amp;EDATE(DataRef,-PrazoBanco))-J25))</f>
        <v/>
      </c>
      <c r="M25" s="43" t="str">
        <f aca="false">IF(H25="","",MAX(0,SUMIFS($D$5:$D$504,$B$5:$B$504,H25,$C$5:$C$504,"Crédito",$A$5:$A$504,"&lt;="&amp;EDATE(DataRef+30,-PrazoBanco))-J25)-L25)</f>
        <v/>
      </c>
      <c r="N25" s="66"/>
      <c r="O25" s="69" t="str">
        <f aca="false">IF(OR(H25="",N25=""),"",ROUND(L25*24*N25*(1+PctHE1),2))</f>
        <v/>
      </c>
      <c r="P25" s="77" t="str">
        <f aca="false">IF(H25="","",IF(L25&gt;0,"Horas vencidas: pagar como extra",IF(M25&gt;0,"Compensar nos próximos 30 dias",IF(I25-J25&lt;0,"Saldo negativo","Em dia"))))</f>
        <v/>
      </c>
    </row>
    <row r="26" customFormat="false" ht="15" hidden="false" customHeight="false" outlineLevel="0" collapsed="false">
      <c r="A26" s="73"/>
      <c r="B26" s="41"/>
      <c r="C26" s="67"/>
      <c r="D26" s="70"/>
      <c r="E26" s="41"/>
      <c r="F26" s="74" t="str">
        <f aca="false">IF(AND(A26&lt;&gt;"",C26="Crédito"),EDATE(A26,PrazoBanco),"")</f>
        <v/>
      </c>
      <c r="H26" s="41"/>
      <c r="I26" s="75" t="str">
        <f aca="false">IF(H26="","",SUMIFS($D$5:$D$504,$B$5:$B$504,H26,$C$5:$C$504,"Crédito"))</f>
        <v/>
      </c>
      <c r="J26" s="75" t="str">
        <f aca="false">IF(H26="","",SUMIFS($D$5:$D$504,$B$5:$B$504,H26,$C$5:$C$504,"Débito"))</f>
        <v/>
      </c>
      <c r="K26" s="76" t="str">
        <f aca="false">IF(H26="","",IF(I26-J26&lt;0,"-","")&amp;TEXT(ABS(I26-J26),"[h]:mm"))</f>
        <v/>
      </c>
      <c r="L26" s="43" t="str">
        <f aca="false">IF(H26="","",MAX(0,SUMIFS($D$5:$D$504,$B$5:$B$504,H26,$C$5:$C$504,"Crédito",$A$5:$A$504,"&lt;="&amp;EDATE(DataRef,-PrazoBanco))-J26))</f>
        <v/>
      </c>
      <c r="M26" s="43" t="str">
        <f aca="false">IF(H26="","",MAX(0,SUMIFS($D$5:$D$504,$B$5:$B$504,H26,$C$5:$C$504,"Crédito",$A$5:$A$504,"&lt;="&amp;EDATE(DataRef+30,-PrazoBanco))-J26)-L26)</f>
        <v/>
      </c>
      <c r="N26" s="66"/>
      <c r="O26" s="69" t="str">
        <f aca="false">IF(OR(H26="",N26=""),"",ROUND(L26*24*N26*(1+PctHE1),2))</f>
        <v/>
      </c>
      <c r="P26" s="77" t="str">
        <f aca="false">IF(H26="","",IF(L26&gt;0,"Horas vencidas: pagar como extra",IF(M26&gt;0,"Compensar nos próximos 30 dias",IF(I26-J26&lt;0,"Saldo negativo","Em dia"))))</f>
        <v/>
      </c>
    </row>
    <row r="27" customFormat="false" ht="15" hidden="false" customHeight="false" outlineLevel="0" collapsed="false">
      <c r="A27" s="73"/>
      <c r="B27" s="41"/>
      <c r="C27" s="67"/>
      <c r="D27" s="70"/>
      <c r="E27" s="41"/>
      <c r="F27" s="74" t="str">
        <f aca="false">IF(AND(A27&lt;&gt;"",C27="Crédito"),EDATE(A27,PrazoBanco),"")</f>
        <v/>
      </c>
      <c r="H27" s="41"/>
      <c r="I27" s="75" t="str">
        <f aca="false">IF(H27="","",SUMIFS($D$5:$D$504,$B$5:$B$504,H27,$C$5:$C$504,"Crédito"))</f>
        <v/>
      </c>
      <c r="J27" s="75" t="str">
        <f aca="false">IF(H27="","",SUMIFS($D$5:$D$504,$B$5:$B$504,H27,$C$5:$C$504,"Débito"))</f>
        <v/>
      </c>
      <c r="K27" s="76" t="str">
        <f aca="false">IF(H27="","",IF(I27-J27&lt;0,"-","")&amp;TEXT(ABS(I27-J27),"[h]:mm"))</f>
        <v/>
      </c>
      <c r="L27" s="43" t="str">
        <f aca="false">IF(H27="","",MAX(0,SUMIFS($D$5:$D$504,$B$5:$B$504,H27,$C$5:$C$504,"Crédito",$A$5:$A$504,"&lt;="&amp;EDATE(DataRef,-PrazoBanco))-J27))</f>
        <v/>
      </c>
      <c r="M27" s="43" t="str">
        <f aca="false">IF(H27="","",MAX(0,SUMIFS($D$5:$D$504,$B$5:$B$504,H27,$C$5:$C$504,"Crédito",$A$5:$A$504,"&lt;="&amp;EDATE(DataRef+30,-PrazoBanco))-J27)-L27)</f>
        <v/>
      </c>
      <c r="N27" s="66"/>
      <c r="O27" s="69" t="str">
        <f aca="false">IF(OR(H27="",N27=""),"",ROUND(L27*24*N27*(1+PctHE1),2))</f>
        <v/>
      </c>
      <c r="P27" s="77" t="str">
        <f aca="false">IF(H27="","",IF(L27&gt;0,"Horas vencidas: pagar como extra",IF(M27&gt;0,"Compensar nos próximos 30 dias",IF(I27-J27&lt;0,"Saldo negativo","Em dia"))))</f>
        <v/>
      </c>
    </row>
    <row r="28" customFormat="false" ht="15" hidden="false" customHeight="false" outlineLevel="0" collapsed="false">
      <c r="A28" s="73"/>
      <c r="B28" s="41"/>
      <c r="C28" s="67"/>
      <c r="D28" s="70"/>
      <c r="E28" s="41"/>
      <c r="F28" s="74" t="str">
        <f aca="false">IF(AND(A28&lt;&gt;"",C28="Crédito"),EDATE(A28,PrazoBanco),"")</f>
        <v/>
      </c>
      <c r="H28" s="41"/>
      <c r="I28" s="75" t="str">
        <f aca="false">IF(H28="","",SUMIFS($D$5:$D$504,$B$5:$B$504,H28,$C$5:$C$504,"Crédito"))</f>
        <v/>
      </c>
      <c r="J28" s="75" t="str">
        <f aca="false">IF(H28="","",SUMIFS($D$5:$D$504,$B$5:$B$504,H28,$C$5:$C$504,"Débito"))</f>
        <v/>
      </c>
      <c r="K28" s="76" t="str">
        <f aca="false">IF(H28="","",IF(I28-J28&lt;0,"-","")&amp;TEXT(ABS(I28-J28),"[h]:mm"))</f>
        <v/>
      </c>
      <c r="L28" s="43" t="str">
        <f aca="false">IF(H28="","",MAX(0,SUMIFS($D$5:$D$504,$B$5:$B$504,H28,$C$5:$C$504,"Crédito",$A$5:$A$504,"&lt;="&amp;EDATE(DataRef,-PrazoBanco))-J28))</f>
        <v/>
      </c>
      <c r="M28" s="43" t="str">
        <f aca="false">IF(H28="","",MAX(0,SUMIFS($D$5:$D$504,$B$5:$B$504,H28,$C$5:$C$504,"Crédito",$A$5:$A$504,"&lt;="&amp;EDATE(DataRef+30,-PrazoBanco))-J28)-L28)</f>
        <v/>
      </c>
      <c r="N28" s="66"/>
      <c r="O28" s="69" t="str">
        <f aca="false">IF(OR(H28="",N28=""),"",ROUND(L28*24*N28*(1+PctHE1),2))</f>
        <v/>
      </c>
      <c r="P28" s="77" t="str">
        <f aca="false">IF(H28="","",IF(L28&gt;0,"Horas vencidas: pagar como extra",IF(M28&gt;0,"Compensar nos próximos 30 dias",IF(I28-J28&lt;0,"Saldo negativo","Em dia"))))</f>
        <v/>
      </c>
    </row>
    <row r="29" customFormat="false" ht="15" hidden="false" customHeight="false" outlineLevel="0" collapsed="false">
      <c r="A29" s="73"/>
      <c r="B29" s="41"/>
      <c r="C29" s="67"/>
      <c r="D29" s="70"/>
      <c r="E29" s="41"/>
      <c r="F29" s="74" t="str">
        <f aca="false">IF(AND(A29&lt;&gt;"",C29="Crédito"),EDATE(A29,PrazoBanco),"")</f>
        <v/>
      </c>
      <c r="H29" s="41"/>
      <c r="I29" s="75" t="str">
        <f aca="false">IF(H29="","",SUMIFS($D$5:$D$504,$B$5:$B$504,H29,$C$5:$C$504,"Crédito"))</f>
        <v/>
      </c>
      <c r="J29" s="75" t="str">
        <f aca="false">IF(H29="","",SUMIFS($D$5:$D$504,$B$5:$B$504,H29,$C$5:$C$504,"Débito"))</f>
        <v/>
      </c>
      <c r="K29" s="76" t="str">
        <f aca="false">IF(H29="","",IF(I29-J29&lt;0,"-","")&amp;TEXT(ABS(I29-J29),"[h]:mm"))</f>
        <v/>
      </c>
      <c r="L29" s="43" t="str">
        <f aca="false">IF(H29="","",MAX(0,SUMIFS($D$5:$D$504,$B$5:$B$504,H29,$C$5:$C$504,"Crédito",$A$5:$A$504,"&lt;="&amp;EDATE(DataRef,-PrazoBanco))-J29))</f>
        <v/>
      </c>
      <c r="M29" s="43" t="str">
        <f aca="false">IF(H29="","",MAX(0,SUMIFS($D$5:$D$504,$B$5:$B$504,H29,$C$5:$C$504,"Crédito",$A$5:$A$504,"&lt;="&amp;EDATE(DataRef+30,-PrazoBanco))-J29)-L29)</f>
        <v/>
      </c>
      <c r="N29" s="66"/>
      <c r="O29" s="69" t="str">
        <f aca="false">IF(OR(H29="",N29=""),"",ROUND(L29*24*N29*(1+PctHE1),2))</f>
        <v/>
      </c>
      <c r="P29" s="77" t="str">
        <f aca="false">IF(H29="","",IF(L29&gt;0,"Horas vencidas: pagar como extra",IF(M29&gt;0,"Compensar nos próximos 30 dias",IF(I29-J29&lt;0,"Saldo negativo","Em dia"))))</f>
        <v/>
      </c>
    </row>
    <row r="30" customFormat="false" ht="15" hidden="false" customHeight="false" outlineLevel="0" collapsed="false">
      <c r="A30" s="73"/>
      <c r="B30" s="41"/>
      <c r="C30" s="67"/>
      <c r="D30" s="70"/>
      <c r="E30" s="41"/>
      <c r="F30" s="74" t="str">
        <f aca="false">IF(AND(A30&lt;&gt;"",C30="Crédito"),EDATE(A30,PrazoBanco),"")</f>
        <v/>
      </c>
      <c r="H30" s="41"/>
      <c r="I30" s="75" t="str">
        <f aca="false">IF(H30="","",SUMIFS($D$5:$D$504,$B$5:$B$504,H30,$C$5:$C$504,"Crédito"))</f>
        <v/>
      </c>
      <c r="J30" s="75" t="str">
        <f aca="false">IF(H30="","",SUMIFS($D$5:$D$504,$B$5:$B$504,H30,$C$5:$C$504,"Débito"))</f>
        <v/>
      </c>
      <c r="K30" s="76" t="str">
        <f aca="false">IF(H30="","",IF(I30-J30&lt;0,"-","")&amp;TEXT(ABS(I30-J30),"[h]:mm"))</f>
        <v/>
      </c>
      <c r="L30" s="43" t="str">
        <f aca="false">IF(H30="","",MAX(0,SUMIFS($D$5:$D$504,$B$5:$B$504,H30,$C$5:$C$504,"Crédito",$A$5:$A$504,"&lt;="&amp;EDATE(DataRef,-PrazoBanco))-J30))</f>
        <v/>
      </c>
      <c r="M30" s="43" t="str">
        <f aca="false">IF(H30="","",MAX(0,SUMIFS($D$5:$D$504,$B$5:$B$504,H30,$C$5:$C$504,"Crédito",$A$5:$A$504,"&lt;="&amp;EDATE(DataRef+30,-PrazoBanco))-J30)-L30)</f>
        <v/>
      </c>
      <c r="N30" s="66"/>
      <c r="O30" s="69" t="str">
        <f aca="false">IF(OR(H30="",N30=""),"",ROUND(L30*24*N30*(1+PctHE1),2))</f>
        <v/>
      </c>
      <c r="P30" s="77" t="str">
        <f aca="false">IF(H30="","",IF(L30&gt;0,"Horas vencidas: pagar como extra",IF(M30&gt;0,"Compensar nos próximos 30 dias",IF(I30-J30&lt;0,"Saldo negativo","Em dia"))))</f>
        <v/>
      </c>
    </row>
    <row r="31" customFormat="false" ht="15" hidden="false" customHeight="false" outlineLevel="0" collapsed="false">
      <c r="A31" s="73"/>
      <c r="B31" s="41"/>
      <c r="C31" s="67"/>
      <c r="D31" s="70"/>
      <c r="E31" s="41"/>
      <c r="F31" s="74" t="str">
        <f aca="false">IF(AND(A31&lt;&gt;"",C31="Crédito"),EDATE(A31,PrazoBanco),"")</f>
        <v/>
      </c>
      <c r="H31" s="41"/>
      <c r="I31" s="75" t="str">
        <f aca="false">IF(H31="","",SUMIFS($D$5:$D$504,$B$5:$B$504,H31,$C$5:$C$504,"Crédito"))</f>
        <v/>
      </c>
      <c r="J31" s="75" t="str">
        <f aca="false">IF(H31="","",SUMIFS($D$5:$D$504,$B$5:$B$504,H31,$C$5:$C$504,"Débito"))</f>
        <v/>
      </c>
      <c r="K31" s="76" t="str">
        <f aca="false">IF(H31="","",IF(I31-J31&lt;0,"-","")&amp;TEXT(ABS(I31-J31),"[h]:mm"))</f>
        <v/>
      </c>
      <c r="L31" s="43" t="str">
        <f aca="false">IF(H31="","",MAX(0,SUMIFS($D$5:$D$504,$B$5:$B$504,H31,$C$5:$C$504,"Crédito",$A$5:$A$504,"&lt;="&amp;EDATE(DataRef,-PrazoBanco))-J31))</f>
        <v/>
      </c>
      <c r="M31" s="43" t="str">
        <f aca="false">IF(H31="","",MAX(0,SUMIFS($D$5:$D$504,$B$5:$B$504,H31,$C$5:$C$504,"Crédito",$A$5:$A$504,"&lt;="&amp;EDATE(DataRef+30,-PrazoBanco))-J31)-L31)</f>
        <v/>
      </c>
      <c r="N31" s="66"/>
      <c r="O31" s="69" t="str">
        <f aca="false">IF(OR(H31="",N31=""),"",ROUND(L31*24*N31*(1+PctHE1),2))</f>
        <v/>
      </c>
      <c r="P31" s="77" t="str">
        <f aca="false">IF(H31="","",IF(L31&gt;0,"Horas vencidas: pagar como extra",IF(M31&gt;0,"Compensar nos próximos 30 dias",IF(I31-J31&lt;0,"Saldo negativo","Em dia"))))</f>
        <v/>
      </c>
    </row>
    <row r="32" customFormat="false" ht="15" hidden="false" customHeight="false" outlineLevel="0" collapsed="false">
      <c r="A32" s="73"/>
      <c r="B32" s="41"/>
      <c r="C32" s="67"/>
      <c r="D32" s="70"/>
      <c r="E32" s="41"/>
      <c r="F32" s="74" t="str">
        <f aca="false">IF(AND(A32&lt;&gt;"",C32="Crédito"),EDATE(A32,PrazoBanco),"")</f>
        <v/>
      </c>
      <c r="H32" s="41"/>
      <c r="I32" s="75" t="str">
        <f aca="false">IF(H32="","",SUMIFS($D$5:$D$504,$B$5:$B$504,H32,$C$5:$C$504,"Crédito"))</f>
        <v/>
      </c>
      <c r="J32" s="75" t="str">
        <f aca="false">IF(H32="","",SUMIFS($D$5:$D$504,$B$5:$B$504,H32,$C$5:$C$504,"Débito"))</f>
        <v/>
      </c>
      <c r="K32" s="76" t="str">
        <f aca="false">IF(H32="","",IF(I32-J32&lt;0,"-","")&amp;TEXT(ABS(I32-J32),"[h]:mm"))</f>
        <v/>
      </c>
      <c r="L32" s="43" t="str">
        <f aca="false">IF(H32="","",MAX(0,SUMIFS($D$5:$D$504,$B$5:$B$504,H32,$C$5:$C$504,"Crédito",$A$5:$A$504,"&lt;="&amp;EDATE(DataRef,-PrazoBanco))-J32))</f>
        <v/>
      </c>
      <c r="M32" s="43" t="str">
        <f aca="false">IF(H32="","",MAX(0,SUMIFS($D$5:$D$504,$B$5:$B$504,H32,$C$5:$C$504,"Crédito",$A$5:$A$504,"&lt;="&amp;EDATE(DataRef+30,-PrazoBanco))-J32)-L32)</f>
        <v/>
      </c>
      <c r="N32" s="66"/>
      <c r="O32" s="69" t="str">
        <f aca="false">IF(OR(H32="",N32=""),"",ROUND(L32*24*N32*(1+PctHE1),2))</f>
        <v/>
      </c>
      <c r="P32" s="77" t="str">
        <f aca="false">IF(H32="","",IF(L32&gt;0,"Horas vencidas: pagar como extra",IF(M32&gt;0,"Compensar nos próximos 30 dias",IF(I32-J32&lt;0,"Saldo negativo","Em dia"))))</f>
        <v/>
      </c>
    </row>
    <row r="33" customFormat="false" ht="15" hidden="false" customHeight="false" outlineLevel="0" collapsed="false">
      <c r="A33" s="73"/>
      <c r="B33" s="41"/>
      <c r="C33" s="67"/>
      <c r="D33" s="70"/>
      <c r="E33" s="41"/>
      <c r="F33" s="74" t="str">
        <f aca="false">IF(AND(A33&lt;&gt;"",C33="Crédito"),EDATE(A33,PrazoBanco),"")</f>
        <v/>
      </c>
      <c r="H33" s="41"/>
      <c r="I33" s="75" t="str">
        <f aca="false">IF(H33="","",SUMIFS($D$5:$D$504,$B$5:$B$504,H33,$C$5:$C$504,"Crédito"))</f>
        <v/>
      </c>
      <c r="J33" s="75" t="str">
        <f aca="false">IF(H33="","",SUMIFS($D$5:$D$504,$B$5:$B$504,H33,$C$5:$C$504,"Débito"))</f>
        <v/>
      </c>
      <c r="K33" s="76" t="str">
        <f aca="false">IF(H33="","",IF(I33-J33&lt;0,"-","")&amp;TEXT(ABS(I33-J33),"[h]:mm"))</f>
        <v/>
      </c>
      <c r="L33" s="43" t="str">
        <f aca="false">IF(H33="","",MAX(0,SUMIFS($D$5:$D$504,$B$5:$B$504,H33,$C$5:$C$504,"Crédito",$A$5:$A$504,"&lt;="&amp;EDATE(DataRef,-PrazoBanco))-J33))</f>
        <v/>
      </c>
      <c r="M33" s="43" t="str">
        <f aca="false">IF(H33="","",MAX(0,SUMIFS($D$5:$D$504,$B$5:$B$504,H33,$C$5:$C$504,"Crédito",$A$5:$A$504,"&lt;="&amp;EDATE(DataRef+30,-PrazoBanco))-J33)-L33)</f>
        <v/>
      </c>
      <c r="N33" s="66"/>
      <c r="O33" s="69" t="str">
        <f aca="false">IF(OR(H33="",N33=""),"",ROUND(L33*24*N33*(1+PctHE1),2))</f>
        <v/>
      </c>
      <c r="P33" s="77" t="str">
        <f aca="false">IF(H33="","",IF(L33&gt;0,"Horas vencidas: pagar como extra",IF(M33&gt;0,"Compensar nos próximos 30 dias",IF(I33-J33&lt;0,"Saldo negativo","Em dia"))))</f>
        <v/>
      </c>
    </row>
    <row r="34" customFormat="false" ht="15" hidden="false" customHeight="false" outlineLevel="0" collapsed="false">
      <c r="A34" s="73"/>
      <c r="B34" s="41"/>
      <c r="C34" s="67"/>
      <c r="D34" s="70"/>
      <c r="E34" s="41"/>
      <c r="F34" s="74" t="str">
        <f aca="false">IF(AND(A34&lt;&gt;"",C34="Crédito"),EDATE(A34,PrazoBanco),"")</f>
        <v/>
      </c>
      <c r="H34" s="41"/>
      <c r="I34" s="75" t="str">
        <f aca="false">IF(H34="","",SUMIFS($D$5:$D$504,$B$5:$B$504,H34,$C$5:$C$504,"Crédito"))</f>
        <v/>
      </c>
      <c r="J34" s="75" t="str">
        <f aca="false">IF(H34="","",SUMIFS($D$5:$D$504,$B$5:$B$504,H34,$C$5:$C$504,"Débito"))</f>
        <v/>
      </c>
      <c r="K34" s="76" t="str">
        <f aca="false">IF(H34="","",IF(I34-J34&lt;0,"-","")&amp;TEXT(ABS(I34-J34),"[h]:mm"))</f>
        <v/>
      </c>
      <c r="L34" s="43" t="str">
        <f aca="false">IF(H34="","",MAX(0,SUMIFS($D$5:$D$504,$B$5:$B$504,H34,$C$5:$C$504,"Crédito",$A$5:$A$504,"&lt;="&amp;EDATE(DataRef,-PrazoBanco))-J34))</f>
        <v/>
      </c>
      <c r="M34" s="43" t="str">
        <f aca="false">IF(H34="","",MAX(0,SUMIFS($D$5:$D$504,$B$5:$B$504,H34,$C$5:$C$504,"Crédito",$A$5:$A$504,"&lt;="&amp;EDATE(DataRef+30,-PrazoBanco))-J34)-L34)</f>
        <v/>
      </c>
      <c r="N34" s="66"/>
      <c r="O34" s="69" t="str">
        <f aca="false">IF(OR(H34="",N34=""),"",ROUND(L34*24*N34*(1+PctHE1),2))</f>
        <v/>
      </c>
      <c r="P34" s="77" t="str">
        <f aca="false">IF(H34="","",IF(L34&gt;0,"Horas vencidas: pagar como extra",IF(M34&gt;0,"Compensar nos próximos 30 dias",IF(I34-J34&lt;0,"Saldo negativo","Em dia"))))</f>
        <v/>
      </c>
    </row>
    <row r="35" customFormat="false" ht="15" hidden="false" customHeight="false" outlineLevel="0" collapsed="false">
      <c r="A35" s="73"/>
      <c r="B35" s="41"/>
      <c r="C35" s="67"/>
      <c r="D35" s="70"/>
      <c r="E35" s="41"/>
      <c r="F35" s="74" t="str">
        <f aca="false">IF(AND(A35&lt;&gt;"",C35="Crédito"),EDATE(A35,PrazoBanco),"")</f>
        <v/>
      </c>
      <c r="H35" s="41"/>
      <c r="I35" s="75" t="str">
        <f aca="false">IF(H35="","",SUMIFS($D$5:$D$504,$B$5:$B$504,H35,$C$5:$C$504,"Crédito"))</f>
        <v/>
      </c>
      <c r="J35" s="75" t="str">
        <f aca="false">IF(H35="","",SUMIFS($D$5:$D$504,$B$5:$B$504,H35,$C$5:$C$504,"Débito"))</f>
        <v/>
      </c>
      <c r="K35" s="76" t="str">
        <f aca="false">IF(H35="","",IF(I35-J35&lt;0,"-","")&amp;TEXT(ABS(I35-J35),"[h]:mm"))</f>
        <v/>
      </c>
      <c r="L35" s="43" t="str">
        <f aca="false">IF(H35="","",MAX(0,SUMIFS($D$5:$D$504,$B$5:$B$504,H35,$C$5:$C$504,"Crédito",$A$5:$A$504,"&lt;="&amp;EDATE(DataRef,-PrazoBanco))-J35))</f>
        <v/>
      </c>
      <c r="M35" s="43" t="str">
        <f aca="false">IF(H35="","",MAX(0,SUMIFS($D$5:$D$504,$B$5:$B$504,H35,$C$5:$C$504,"Crédito",$A$5:$A$504,"&lt;="&amp;EDATE(DataRef+30,-PrazoBanco))-J35)-L35)</f>
        <v/>
      </c>
      <c r="N35" s="66"/>
      <c r="O35" s="69" t="str">
        <f aca="false">IF(OR(H35="",N35=""),"",ROUND(L35*24*N35*(1+PctHE1),2))</f>
        <v/>
      </c>
      <c r="P35" s="77" t="str">
        <f aca="false">IF(H35="","",IF(L35&gt;0,"Horas vencidas: pagar como extra",IF(M35&gt;0,"Compensar nos próximos 30 dias",IF(I35-J35&lt;0,"Saldo negativo","Em dia"))))</f>
        <v/>
      </c>
    </row>
    <row r="36" customFormat="false" ht="15" hidden="false" customHeight="false" outlineLevel="0" collapsed="false">
      <c r="A36" s="73"/>
      <c r="B36" s="41"/>
      <c r="C36" s="67"/>
      <c r="D36" s="70"/>
      <c r="E36" s="41"/>
      <c r="F36" s="74" t="str">
        <f aca="false">IF(AND(A36&lt;&gt;"",C36="Crédito"),EDATE(A36,PrazoBanco),"")</f>
        <v/>
      </c>
      <c r="H36" s="41"/>
      <c r="I36" s="75" t="str">
        <f aca="false">IF(H36="","",SUMIFS($D$5:$D$504,$B$5:$B$504,H36,$C$5:$C$504,"Crédito"))</f>
        <v/>
      </c>
      <c r="J36" s="75" t="str">
        <f aca="false">IF(H36="","",SUMIFS($D$5:$D$504,$B$5:$B$504,H36,$C$5:$C$504,"Débito"))</f>
        <v/>
      </c>
      <c r="K36" s="76" t="str">
        <f aca="false">IF(H36="","",IF(I36-J36&lt;0,"-","")&amp;TEXT(ABS(I36-J36),"[h]:mm"))</f>
        <v/>
      </c>
      <c r="L36" s="43" t="str">
        <f aca="false">IF(H36="","",MAX(0,SUMIFS($D$5:$D$504,$B$5:$B$504,H36,$C$5:$C$504,"Crédito",$A$5:$A$504,"&lt;="&amp;EDATE(DataRef,-PrazoBanco))-J36))</f>
        <v/>
      </c>
      <c r="M36" s="43" t="str">
        <f aca="false">IF(H36="","",MAX(0,SUMIFS($D$5:$D$504,$B$5:$B$504,H36,$C$5:$C$504,"Crédito",$A$5:$A$504,"&lt;="&amp;EDATE(DataRef+30,-PrazoBanco))-J36)-L36)</f>
        <v/>
      </c>
      <c r="N36" s="66"/>
      <c r="O36" s="69" t="str">
        <f aca="false">IF(OR(H36="",N36=""),"",ROUND(L36*24*N36*(1+PctHE1),2))</f>
        <v/>
      </c>
      <c r="P36" s="77" t="str">
        <f aca="false">IF(H36="","",IF(L36&gt;0,"Horas vencidas: pagar como extra",IF(M36&gt;0,"Compensar nos próximos 30 dias",IF(I36-J36&lt;0,"Saldo negativo","Em dia"))))</f>
        <v/>
      </c>
    </row>
    <row r="37" customFormat="false" ht="15" hidden="false" customHeight="false" outlineLevel="0" collapsed="false">
      <c r="A37" s="73"/>
      <c r="B37" s="41"/>
      <c r="C37" s="67"/>
      <c r="D37" s="70"/>
      <c r="E37" s="41"/>
      <c r="F37" s="74" t="str">
        <f aca="false">IF(AND(A37&lt;&gt;"",C37="Crédito"),EDATE(A37,PrazoBanco),"")</f>
        <v/>
      </c>
      <c r="H37" s="41"/>
      <c r="I37" s="75" t="str">
        <f aca="false">IF(H37="","",SUMIFS($D$5:$D$504,$B$5:$B$504,H37,$C$5:$C$504,"Crédito"))</f>
        <v/>
      </c>
      <c r="J37" s="75" t="str">
        <f aca="false">IF(H37="","",SUMIFS($D$5:$D$504,$B$5:$B$504,H37,$C$5:$C$504,"Débito"))</f>
        <v/>
      </c>
      <c r="K37" s="76" t="str">
        <f aca="false">IF(H37="","",IF(I37-J37&lt;0,"-","")&amp;TEXT(ABS(I37-J37),"[h]:mm"))</f>
        <v/>
      </c>
      <c r="L37" s="43" t="str">
        <f aca="false">IF(H37="","",MAX(0,SUMIFS($D$5:$D$504,$B$5:$B$504,H37,$C$5:$C$504,"Crédito",$A$5:$A$504,"&lt;="&amp;EDATE(DataRef,-PrazoBanco))-J37))</f>
        <v/>
      </c>
      <c r="M37" s="43" t="str">
        <f aca="false">IF(H37="","",MAX(0,SUMIFS($D$5:$D$504,$B$5:$B$504,H37,$C$5:$C$504,"Crédito",$A$5:$A$504,"&lt;="&amp;EDATE(DataRef+30,-PrazoBanco))-J37)-L37)</f>
        <v/>
      </c>
      <c r="N37" s="66"/>
      <c r="O37" s="69" t="str">
        <f aca="false">IF(OR(H37="",N37=""),"",ROUND(L37*24*N37*(1+PctHE1),2))</f>
        <v/>
      </c>
      <c r="P37" s="77" t="str">
        <f aca="false">IF(H37="","",IF(L37&gt;0,"Horas vencidas: pagar como extra",IF(M37&gt;0,"Compensar nos próximos 30 dias",IF(I37-J37&lt;0,"Saldo negativo","Em dia"))))</f>
        <v/>
      </c>
    </row>
    <row r="38" customFormat="false" ht="15" hidden="false" customHeight="false" outlineLevel="0" collapsed="false">
      <c r="A38" s="73"/>
      <c r="B38" s="41"/>
      <c r="C38" s="67"/>
      <c r="D38" s="70"/>
      <c r="E38" s="41"/>
      <c r="F38" s="74" t="str">
        <f aca="false">IF(AND(A38&lt;&gt;"",C38="Crédito"),EDATE(A38,PrazoBanco),"")</f>
        <v/>
      </c>
      <c r="H38" s="41"/>
      <c r="I38" s="75" t="str">
        <f aca="false">IF(H38="","",SUMIFS($D$5:$D$504,$B$5:$B$504,H38,$C$5:$C$504,"Crédito"))</f>
        <v/>
      </c>
      <c r="J38" s="75" t="str">
        <f aca="false">IF(H38="","",SUMIFS($D$5:$D$504,$B$5:$B$504,H38,$C$5:$C$504,"Débito"))</f>
        <v/>
      </c>
      <c r="K38" s="76" t="str">
        <f aca="false">IF(H38="","",IF(I38-J38&lt;0,"-","")&amp;TEXT(ABS(I38-J38),"[h]:mm"))</f>
        <v/>
      </c>
      <c r="L38" s="43" t="str">
        <f aca="false">IF(H38="","",MAX(0,SUMIFS($D$5:$D$504,$B$5:$B$504,H38,$C$5:$C$504,"Crédito",$A$5:$A$504,"&lt;="&amp;EDATE(DataRef,-PrazoBanco))-J38))</f>
        <v/>
      </c>
      <c r="M38" s="43" t="str">
        <f aca="false">IF(H38="","",MAX(0,SUMIFS($D$5:$D$504,$B$5:$B$504,H38,$C$5:$C$504,"Crédito",$A$5:$A$504,"&lt;="&amp;EDATE(DataRef+30,-PrazoBanco))-J38)-L38)</f>
        <v/>
      </c>
      <c r="N38" s="66"/>
      <c r="O38" s="69" t="str">
        <f aca="false">IF(OR(H38="",N38=""),"",ROUND(L38*24*N38*(1+PctHE1),2))</f>
        <v/>
      </c>
      <c r="P38" s="77" t="str">
        <f aca="false">IF(H38="","",IF(L38&gt;0,"Horas vencidas: pagar como extra",IF(M38&gt;0,"Compensar nos próximos 30 dias",IF(I38-J38&lt;0,"Saldo negativo","Em dia"))))</f>
        <v/>
      </c>
    </row>
    <row r="39" customFormat="false" ht="15" hidden="false" customHeight="false" outlineLevel="0" collapsed="false">
      <c r="A39" s="73"/>
      <c r="B39" s="41"/>
      <c r="C39" s="67"/>
      <c r="D39" s="70"/>
      <c r="E39" s="41"/>
      <c r="F39" s="74" t="str">
        <f aca="false">IF(AND(A39&lt;&gt;"",C39="Crédito"),EDATE(A39,PrazoBanco),"")</f>
        <v/>
      </c>
      <c r="H39" s="41"/>
      <c r="I39" s="75" t="str">
        <f aca="false">IF(H39="","",SUMIFS($D$5:$D$504,$B$5:$B$504,H39,$C$5:$C$504,"Crédito"))</f>
        <v/>
      </c>
      <c r="J39" s="75" t="str">
        <f aca="false">IF(H39="","",SUMIFS($D$5:$D$504,$B$5:$B$504,H39,$C$5:$C$504,"Débito"))</f>
        <v/>
      </c>
      <c r="K39" s="76" t="str">
        <f aca="false">IF(H39="","",IF(I39-J39&lt;0,"-","")&amp;TEXT(ABS(I39-J39),"[h]:mm"))</f>
        <v/>
      </c>
      <c r="L39" s="43" t="str">
        <f aca="false">IF(H39="","",MAX(0,SUMIFS($D$5:$D$504,$B$5:$B$504,H39,$C$5:$C$504,"Crédito",$A$5:$A$504,"&lt;="&amp;EDATE(DataRef,-PrazoBanco))-J39))</f>
        <v/>
      </c>
      <c r="M39" s="43" t="str">
        <f aca="false">IF(H39="","",MAX(0,SUMIFS($D$5:$D$504,$B$5:$B$504,H39,$C$5:$C$504,"Crédito",$A$5:$A$504,"&lt;="&amp;EDATE(DataRef+30,-PrazoBanco))-J39)-L39)</f>
        <v/>
      </c>
      <c r="N39" s="66"/>
      <c r="O39" s="69" t="str">
        <f aca="false">IF(OR(H39="",N39=""),"",ROUND(L39*24*N39*(1+PctHE1),2))</f>
        <v/>
      </c>
      <c r="P39" s="77" t="str">
        <f aca="false">IF(H39="","",IF(L39&gt;0,"Horas vencidas: pagar como extra",IF(M39&gt;0,"Compensar nos próximos 30 dias",IF(I39-J39&lt;0,"Saldo negativo","Em dia"))))</f>
        <v/>
      </c>
    </row>
    <row r="40" customFormat="false" ht="15" hidden="false" customHeight="false" outlineLevel="0" collapsed="false">
      <c r="A40" s="73"/>
      <c r="B40" s="41"/>
      <c r="C40" s="67"/>
      <c r="D40" s="70"/>
      <c r="E40" s="41"/>
      <c r="F40" s="74" t="str">
        <f aca="false">IF(AND(A40&lt;&gt;"",C40="Crédito"),EDATE(A40,PrazoBanco),"")</f>
        <v/>
      </c>
      <c r="H40" s="41"/>
      <c r="I40" s="75" t="str">
        <f aca="false">IF(H40="","",SUMIFS($D$5:$D$504,$B$5:$B$504,H40,$C$5:$C$504,"Crédito"))</f>
        <v/>
      </c>
      <c r="J40" s="75" t="str">
        <f aca="false">IF(H40="","",SUMIFS($D$5:$D$504,$B$5:$B$504,H40,$C$5:$C$504,"Débito"))</f>
        <v/>
      </c>
      <c r="K40" s="76" t="str">
        <f aca="false">IF(H40="","",IF(I40-J40&lt;0,"-","")&amp;TEXT(ABS(I40-J40),"[h]:mm"))</f>
        <v/>
      </c>
      <c r="L40" s="43" t="str">
        <f aca="false">IF(H40="","",MAX(0,SUMIFS($D$5:$D$504,$B$5:$B$504,H40,$C$5:$C$504,"Crédito",$A$5:$A$504,"&lt;="&amp;EDATE(DataRef,-PrazoBanco))-J40))</f>
        <v/>
      </c>
      <c r="M40" s="43" t="str">
        <f aca="false">IF(H40="","",MAX(0,SUMIFS($D$5:$D$504,$B$5:$B$504,H40,$C$5:$C$504,"Crédito",$A$5:$A$504,"&lt;="&amp;EDATE(DataRef+30,-PrazoBanco))-J40)-L40)</f>
        <v/>
      </c>
      <c r="N40" s="66"/>
      <c r="O40" s="69" t="str">
        <f aca="false">IF(OR(H40="",N40=""),"",ROUND(L40*24*N40*(1+PctHE1),2))</f>
        <v/>
      </c>
      <c r="P40" s="77" t="str">
        <f aca="false">IF(H40="","",IF(L40&gt;0,"Horas vencidas: pagar como extra",IF(M40&gt;0,"Compensar nos próximos 30 dias",IF(I40-J40&lt;0,"Saldo negativo","Em dia"))))</f>
        <v/>
      </c>
    </row>
    <row r="41" customFormat="false" ht="15" hidden="false" customHeight="false" outlineLevel="0" collapsed="false">
      <c r="A41" s="73"/>
      <c r="B41" s="41"/>
      <c r="C41" s="67"/>
      <c r="D41" s="70"/>
      <c r="E41" s="41"/>
      <c r="F41" s="74" t="str">
        <f aca="false">IF(AND(A41&lt;&gt;"",C41="Crédito"),EDATE(A41,PrazoBanco),"")</f>
        <v/>
      </c>
      <c r="H41" s="41"/>
      <c r="I41" s="75" t="str">
        <f aca="false">IF(H41="","",SUMIFS($D$5:$D$504,$B$5:$B$504,H41,$C$5:$C$504,"Crédito"))</f>
        <v/>
      </c>
      <c r="J41" s="75" t="str">
        <f aca="false">IF(H41="","",SUMIFS($D$5:$D$504,$B$5:$B$504,H41,$C$5:$C$504,"Débito"))</f>
        <v/>
      </c>
      <c r="K41" s="76" t="str">
        <f aca="false">IF(H41="","",IF(I41-J41&lt;0,"-","")&amp;TEXT(ABS(I41-J41),"[h]:mm"))</f>
        <v/>
      </c>
      <c r="L41" s="43" t="str">
        <f aca="false">IF(H41="","",MAX(0,SUMIFS($D$5:$D$504,$B$5:$B$504,H41,$C$5:$C$504,"Crédito",$A$5:$A$504,"&lt;="&amp;EDATE(DataRef,-PrazoBanco))-J41))</f>
        <v/>
      </c>
      <c r="M41" s="43" t="str">
        <f aca="false">IF(H41="","",MAX(0,SUMIFS($D$5:$D$504,$B$5:$B$504,H41,$C$5:$C$504,"Crédito",$A$5:$A$504,"&lt;="&amp;EDATE(DataRef+30,-PrazoBanco))-J41)-L41)</f>
        <v/>
      </c>
      <c r="N41" s="66"/>
      <c r="O41" s="69" t="str">
        <f aca="false">IF(OR(H41="",N41=""),"",ROUND(L41*24*N41*(1+PctHE1),2))</f>
        <v/>
      </c>
      <c r="P41" s="77" t="str">
        <f aca="false">IF(H41="","",IF(L41&gt;0,"Horas vencidas: pagar como extra",IF(M41&gt;0,"Compensar nos próximos 30 dias",IF(I41-J41&lt;0,"Saldo negativo","Em dia"))))</f>
        <v/>
      </c>
    </row>
    <row r="42" customFormat="false" ht="15" hidden="false" customHeight="false" outlineLevel="0" collapsed="false">
      <c r="A42" s="73"/>
      <c r="B42" s="41"/>
      <c r="C42" s="67"/>
      <c r="D42" s="70"/>
      <c r="E42" s="41"/>
      <c r="F42" s="74" t="str">
        <f aca="false">IF(AND(A42&lt;&gt;"",C42="Crédito"),EDATE(A42,PrazoBanco),"")</f>
        <v/>
      </c>
      <c r="H42" s="41"/>
      <c r="I42" s="75" t="str">
        <f aca="false">IF(H42="","",SUMIFS($D$5:$D$504,$B$5:$B$504,H42,$C$5:$C$504,"Crédito"))</f>
        <v/>
      </c>
      <c r="J42" s="75" t="str">
        <f aca="false">IF(H42="","",SUMIFS($D$5:$D$504,$B$5:$B$504,H42,$C$5:$C$504,"Débito"))</f>
        <v/>
      </c>
      <c r="K42" s="76" t="str">
        <f aca="false">IF(H42="","",IF(I42-J42&lt;0,"-","")&amp;TEXT(ABS(I42-J42),"[h]:mm"))</f>
        <v/>
      </c>
      <c r="L42" s="43" t="str">
        <f aca="false">IF(H42="","",MAX(0,SUMIFS($D$5:$D$504,$B$5:$B$504,H42,$C$5:$C$504,"Crédito",$A$5:$A$504,"&lt;="&amp;EDATE(DataRef,-PrazoBanco))-J42))</f>
        <v/>
      </c>
      <c r="M42" s="43" t="str">
        <f aca="false">IF(H42="","",MAX(0,SUMIFS($D$5:$D$504,$B$5:$B$504,H42,$C$5:$C$504,"Crédito",$A$5:$A$504,"&lt;="&amp;EDATE(DataRef+30,-PrazoBanco))-J42)-L42)</f>
        <v/>
      </c>
      <c r="N42" s="66"/>
      <c r="O42" s="69" t="str">
        <f aca="false">IF(OR(H42="",N42=""),"",ROUND(L42*24*N42*(1+PctHE1),2))</f>
        <v/>
      </c>
      <c r="P42" s="77" t="str">
        <f aca="false">IF(H42="","",IF(L42&gt;0,"Horas vencidas: pagar como extra",IF(M42&gt;0,"Compensar nos próximos 30 dias",IF(I42-J42&lt;0,"Saldo negativo","Em dia"))))</f>
        <v/>
      </c>
    </row>
    <row r="43" customFormat="false" ht="15" hidden="false" customHeight="false" outlineLevel="0" collapsed="false">
      <c r="A43" s="73"/>
      <c r="B43" s="41"/>
      <c r="C43" s="67"/>
      <c r="D43" s="70"/>
      <c r="E43" s="41"/>
      <c r="F43" s="74" t="str">
        <f aca="false">IF(AND(A43&lt;&gt;"",C43="Crédito"),EDATE(A43,PrazoBanco),"")</f>
        <v/>
      </c>
      <c r="H43" s="41"/>
      <c r="I43" s="75" t="str">
        <f aca="false">IF(H43="","",SUMIFS($D$5:$D$504,$B$5:$B$504,H43,$C$5:$C$504,"Crédito"))</f>
        <v/>
      </c>
      <c r="J43" s="75" t="str">
        <f aca="false">IF(H43="","",SUMIFS($D$5:$D$504,$B$5:$B$504,H43,$C$5:$C$504,"Débito"))</f>
        <v/>
      </c>
      <c r="K43" s="76" t="str">
        <f aca="false">IF(H43="","",IF(I43-J43&lt;0,"-","")&amp;TEXT(ABS(I43-J43),"[h]:mm"))</f>
        <v/>
      </c>
      <c r="L43" s="43" t="str">
        <f aca="false">IF(H43="","",MAX(0,SUMIFS($D$5:$D$504,$B$5:$B$504,H43,$C$5:$C$504,"Crédito",$A$5:$A$504,"&lt;="&amp;EDATE(DataRef,-PrazoBanco))-J43))</f>
        <v/>
      </c>
      <c r="M43" s="43" t="str">
        <f aca="false">IF(H43="","",MAX(0,SUMIFS($D$5:$D$504,$B$5:$B$504,H43,$C$5:$C$504,"Crédito",$A$5:$A$504,"&lt;="&amp;EDATE(DataRef+30,-PrazoBanco))-J43)-L43)</f>
        <v/>
      </c>
      <c r="N43" s="66"/>
      <c r="O43" s="69" t="str">
        <f aca="false">IF(OR(H43="",N43=""),"",ROUND(L43*24*N43*(1+PctHE1),2))</f>
        <v/>
      </c>
      <c r="P43" s="77" t="str">
        <f aca="false">IF(H43="","",IF(L43&gt;0,"Horas vencidas: pagar como extra",IF(M43&gt;0,"Compensar nos próximos 30 dias",IF(I43-J43&lt;0,"Saldo negativo","Em dia"))))</f>
        <v/>
      </c>
    </row>
    <row r="44" customFormat="false" ht="15" hidden="false" customHeight="false" outlineLevel="0" collapsed="false">
      <c r="A44" s="73"/>
      <c r="B44" s="41"/>
      <c r="C44" s="67"/>
      <c r="D44" s="70"/>
      <c r="E44" s="41"/>
      <c r="F44" s="74" t="str">
        <f aca="false">IF(AND(A44&lt;&gt;"",C44="Crédito"),EDATE(A44,PrazoBanco),"")</f>
        <v/>
      </c>
      <c r="H44" s="41"/>
      <c r="I44" s="75" t="str">
        <f aca="false">IF(H44="","",SUMIFS($D$5:$D$504,$B$5:$B$504,H44,$C$5:$C$504,"Crédito"))</f>
        <v/>
      </c>
      <c r="J44" s="75" t="str">
        <f aca="false">IF(H44="","",SUMIFS($D$5:$D$504,$B$5:$B$504,H44,$C$5:$C$504,"Débito"))</f>
        <v/>
      </c>
      <c r="K44" s="76" t="str">
        <f aca="false">IF(H44="","",IF(I44-J44&lt;0,"-","")&amp;TEXT(ABS(I44-J44),"[h]:mm"))</f>
        <v/>
      </c>
      <c r="L44" s="43" t="str">
        <f aca="false">IF(H44="","",MAX(0,SUMIFS($D$5:$D$504,$B$5:$B$504,H44,$C$5:$C$504,"Crédito",$A$5:$A$504,"&lt;="&amp;EDATE(DataRef,-PrazoBanco))-J44))</f>
        <v/>
      </c>
      <c r="M44" s="43" t="str">
        <f aca="false">IF(H44="","",MAX(0,SUMIFS($D$5:$D$504,$B$5:$B$504,H44,$C$5:$C$504,"Crédito",$A$5:$A$504,"&lt;="&amp;EDATE(DataRef+30,-PrazoBanco))-J44)-L44)</f>
        <v/>
      </c>
      <c r="N44" s="66"/>
      <c r="O44" s="69" t="str">
        <f aca="false">IF(OR(H44="",N44=""),"",ROUND(L44*24*N44*(1+PctHE1),2))</f>
        <v/>
      </c>
      <c r="P44" s="77" t="str">
        <f aca="false">IF(H44="","",IF(L44&gt;0,"Horas vencidas: pagar como extra",IF(M44&gt;0,"Compensar nos próximos 30 dias",IF(I44-J44&lt;0,"Saldo negativo","Em dia"))))</f>
        <v/>
      </c>
    </row>
    <row r="45" customFormat="false" ht="15" hidden="false" customHeight="false" outlineLevel="0" collapsed="false">
      <c r="A45" s="73"/>
      <c r="B45" s="41"/>
      <c r="C45" s="67"/>
      <c r="D45" s="70"/>
      <c r="E45" s="41"/>
      <c r="F45" s="74" t="str">
        <f aca="false">IF(AND(A45&lt;&gt;"",C45="Crédito"),EDATE(A45,PrazoBanco),"")</f>
        <v/>
      </c>
      <c r="H45" s="41"/>
      <c r="I45" s="75" t="str">
        <f aca="false">IF(H45="","",SUMIFS($D$5:$D$504,$B$5:$B$504,H45,$C$5:$C$504,"Crédito"))</f>
        <v/>
      </c>
      <c r="J45" s="75" t="str">
        <f aca="false">IF(H45="","",SUMIFS($D$5:$D$504,$B$5:$B$504,H45,$C$5:$C$504,"Débito"))</f>
        <v/>
      </c>
      <c r="K45" s="76" t="str">
        <f aca="false">IF(H45="","",IF(I45-J45&lt;0,"-","")&amp;TEXT(ABS(I45-J45),"[h]:mm"))</f>
        <v/>
      </c>
      <c r="L45" s="43" t="str">
        <f aca="false">IF(H45="","",MAX(0,SUMIFS($D$5:$D$504,$B$5:$B$504,H45,$C$5:$C$504,"Crédito",$A$5:$A$504,"&lt;="&amp;EDATE(DataRef,-PrazoBanco))-J45))</f>
        <v/>
      </c>
      <c r="M45" s="43" t="str">
        <f aca="false">IF(H45="","",MAX(0,SUMIFS($D$5:$D$504,$B$5:$B$504,H45,$C$5:$C$504,"Crédito",$A$5:$A$504,"&lt;="&amp;EDATE(DataRef+30,-PrazoBanco))-J45)-L45)</f>
        <v/>
      </c>
      <c r="N45" s="66"/>
      <c r="O45" s="69" t="str">
        <f aca="false">IF(OR(H45="",N45=""),"",ROUND(L45*24*N45*(1+PctHE1),2))</f>
        <v/>
      </c>
      <c r="P45" s="77" t="str">
        <f aca="false">IF(H45="","",IF(L45&gt;0,"Horas vencidas: pagar como extra",IF(M45&gt;0,"Compensar nos próximos 30 dias",IF(I45-J45&lt;0,"Saldo negativo","Em dia"))))</f>
        <v/>
      </c>
    </row>
    <row r="46" customFormat="false" ht="15" hidden="false" customHeight="false" outlineLevel="0" collapsed="false">
      <c r="A46" s="73"/>
      <c r="B46" s="41"/>
      <c r="C46" s="67"/>
      <c r="D46" s="70"/>
      <c r="E46" s="41"/>
      <c r="F46" s="74" t="str">
        <f aca="false">IF(AND(A46&lt;&gt;"",C46="Crédito"),EDATE(A46,PrazoBanco),"")</f>
        <v/>
      </c>
      <c r="H46" s="41"/>
      <c r="I46" s="75" t="str">
        <f aca="false">IF(H46="","",SUMIFS($D$5:$D$504,$B$5:$B$504,H46,$C$5:$C$504,"Crédito"))</f>
        <v/>
      </c>
      <c r="J46" s="75" t="str">
        <f aca="false">IF(H46="","",SUMIFS($D$5:$D$504,$B$5:$B$504,H46,$C$5:$C$504,"Débito"))</f>
        <v/>
      </c>
      <c r="K46" s="76" t="str">
        <f aca="false">IF(H46="","",IF(I46-J46&lt;0,"-","")&amp;TEXT(ABS(I46-J46),"[h]:mm"))</f>
        <v/>
      </c>
      <c r="L46" s="43" t="str">
        <f aca="false">IF(H46="","",MAX(0,SUMIFS($D$5:$D$504,$B$5:$B$504,H46,$C$5:$C$504,"Crédito",$A$5:$A$504,"&lt;="&amp;EDATE(DataRef,-PrazoBanco))-J46))</f>
        <v/>
      </c>
      <c r="M46" s="43" t="str">
        <f aca="false">IF(H46="","",MAX(0,SUMIFS($D$5:$D$504,$B$5:$B$504,H46,$C$5:$C$504,"Crédito",$A$5:$A$504,"&lt;="&amp;EDATE(DataRef+30,-PrazoBanco))-J46)-L46)</f>
        <v/>
      </c>
      <c r="N46" s="66"/>
      <c r="O46" s="69" t="str">
        <f aca="false">IF(OR(H46="",N46=""),"",ROUND(L46*24*N46*(1+PctHE1),2))</f>
        <v/>
      </c>
      <c r="P46" s="77" t="str">
        <f aca="false">IF(H46="","",IF(L46&gt;0,"Horas vencidas: pagar como extra",IF(M46&gt;0,"Compensar nos próximos 30 dias",IF(I46-J46&lt;0,"Saldo negativo","Em dia"))))</f>
        <v/>
      </c>
    </row>
    <row r="47" customFormat="false" ht="15" hidden="false" customHeight="false" outlineLevel="0" collapsed="false">
      <c r="A47" s="73"/>
      <c r="B47" s="41"/>
      <c r="C47" s="67"/>
      <c r="D47" s="70"/>
      <c r="E47" s="41"/>
      <c r="F47" s="74" t="str">
        <f aca="false">IF(AND(A47&lt;&gt;"",C47="Crédito"),EDATE(A47,PrazoBanco),"")</f>
        <v/>
      </c>
      <c r="H47" s="41"/>
      <c r="I47" s="75" t="str">
        <f aca="false">IF(H47="","",SUMIFS($D$5:$D$504,$B$5:$B$504,H47,$C$5:$C$504,"Crédito"))</f>
        <v/>
      </c>
      <c r="J47" s="75" t="str">
        <f aca="false">IF(H47="","",SUMIFS($D$5:$D$504,$B$5:$B$504,H47,$C$5:$C$504,"Débito"))</f>
        <v/>
      </c>
      <c r="K47" s="76" t="str">
        <f aca="false">IF(H47="","",IF(I47-J47&lt;0,"-","")&amp;TEXT(ABS(I47-J47),"[h]:mm"))</f>
        <v/>
      </c>
      <c r="L47" s="43" t="str">
        <f aca="false">IF(H47="","",MAX(0,SUMIFS($D$5:$D$504,$B$5:$B$504,H47,$C$5:$C$504,"Crédito",$A$5:$A$504,"&lt;="&amp;EDATE(DataRef,-PrazoBanco))-J47))</f>
        <v/>
      </c>
      <c r="M47" s="43" t="str">
        <f aca="false">IF(H47="","",MAX(0,SUMIFS($D$5:$D$504,$B$5:$B$504,H47,$C$5:$C$504,"Crédito",$A$5:$A$504,"&lt;="&amp;EDATE(DataRef+30,-PrazoBanco))-J47)-L47)</f>
        <v/>
      </c>
      <c r="N47" s="66"/>
      <c r="O47" s="69" t="str">
        <f aca="false">IF(OR(H47="",N47=""),"",ROUND(L47*24*N47*(1+PctHE1),2))</f>
        <v/>
      </c>
      <c r="P47" s="77" t="str">
        <f aca="false">IF(H47="","",IF(L47&gt;0,"Horas vencidas: pagar como extra",IF(M47&gt;0,"Compensar nos próximos 30 dias",IF(I47-J47&lt;0,"Saldo negativo","Em dia"))))</f>
        <v/>
      </c>
    </row>
    <row r="48" customFormat="false" ht="15" hidden="false" customHeight="false" outlineLevel="0" collapsed="false">
      <c r="A48" s="73"/>
      <c r="B48" s="41"/>
      <c r="C48" s="67"/>
      <c r="D48" s="70"/>
      <c r="E48" s="41"/>
      <c r="F48" s="74" t="str">
        <f aca="false">IF(AND(A48&lt;&gt;"",C48="Crédito"),EDATE(A48,PrazoBanco),"")</f>
        <v/>
      </c>
      <c r="H48" s="41"/>
      <c r="I48" s="75" t="str">
        <f aca="false">IF(H48="","",SUMIFS($D$5:$D$504,$B$5:$B$504,H48,$C$5:$C$504,"Crédito"))</f>
        <v/>
      </c>
      <c r="J48" s="75" t="str">
        <f aca="false">IF(H48="","",SUMIFS($D$5:$D$504,$B$5:$B$504,H48,$C$5:$C$504,"Débito"))</f>
        <v/>
      </c>
      <c r="K48" s="76" t="str">
        <f aca="false">IF(H48="","",IF(I48-J48&lt;0,"-","")&amp;TEXT(ABS(I48-J48),"[h]:mm"))</f>
        <v/>
      </c>
      <c r="L48" s="43" t="str">
        <f aca="false">IF(H48="","",MAX(0,SUMIFS($D$5:$D$504,$B$5:$B$504,H48,$C$5:$C$504,"Crédito",$A$5:$A$504,"&lt;="&amp;EDATE(DataRef,-PrazoBanco))-J48))</f>
        <v/>
      </c>
      <c r="M48" s="43" t="str">
        <f aca="false">IF(H48="","",MAX(0,SUMIFS($D$5:$D$504,$B$5:$B$504,H48,$C$5:$C$504,"Crédito",$A$5:$A$504,"&lt;="&amp;EDATE(DataRef+30,-PrazoBanco))-J48)-L48)</f>
        <v/>
      </c>
      <c r="N48" s="66"/>
      <c r="O48" s="69" t="str">
        <f aca="false">IF(OR(H48="",N48=""),"",ROUND(L48*24*N48*(1+PctHE1),2))</f>
        <v/>
      </c>
      <c r="P48" s="77" t="str">
        <f aca="false">IF(H48="","",IF(L48&gt;0,"Horas vencidas: pagar como extra",IF(M48&gt;0,"Compensar nos próximos 30 dias",IF(I48-J48&lt;0,"Saldo negativo","Em dia"))))</f>
        <v/>
      </c>
    </row>
    <row r="49" customFormat="false" ht="15" hidden="false" customHeight="false" outlineLevel="0" collapsed="false">
      <c r="A49" s="73"/>
      <c r="B49" s="41"/>
      <c r="C49" s="67"/>
      <c r="D49" s="70"/>
      <c r="E49" s="41"/>
      <c r="F49" s="74" t="str">
        <f aca="false">IF(AND(A49&lt;&gt;"",C49="Crédito"),EDATE(A49,PrazoBanco),"")</f>
        <v/>
      </c>
      <c r="H49" s="41"/>
      <c r="I49" s="75" t="str">
        <f aca="false">IF(H49="","",SUMIFS($D$5:$D$504,$B$5:$B$504,H49,$C$5:$C$504,"Crédito"))</f>
        <v/>
      </c>
      <c r="J49" s="75" t="str">
        <f aca="false">IF(H49="","",SUMIFS($D$5:$D$504,$B$5:$B$504,H49,$C$5:$C$504,"Débito"))</f>
        <v/>
      </c>
      <c r="K49" s="76" t="str">
        <f aca="false">IF(H49="","",IF(I49-J49&lt;0,"-","")&amp;TEXT(ABS(I49-J49),"[h]:mm"))</f>
        <v/>
      </c>
      <c r="L49" s="43" t="str">
        <f aca="false">IF(H49="","",MAX(0,SUMIFS($D$5:$D$504,$B$5:$B$504,H49,$C$5:$C$504,"Crédito",$A$5:$A$504,"&lt;="&amp;EDATE(DataRef,-PrazoBanco))-J49))</f>
        <v/>
      </c>
      <c r="M49" s="43" t="str">
        <f aca="false">IF(H49="","",MAX(0,SUMIFS($D$5:$D$504,$B$5:$B$504,H49,$C$5:$C$504,"Crédito",$A$5:$A$504,"&lt;="&amp;EDATE(DataRef+30,-PrazoBanco))-J49)-L49)</f>
        <v/>
      </c>
      <c r="N49" s="66"/>
      <c r="O49" s="69" t="str">
        <f aca="false">IF(OR(H49="",N49=""),"",ROUND(L49*24*N49*(1+PctHE1),2))</f>
        <v/>
      </c>
      <c r="P49" s="77" t="str">
        <f aca="false">IF(H49="","",IF(L49&gt;0,"Horas vencidas: pagar como extra",IF(M49&gt;0,"Compensar nos próximos 30 dias",IF(I49-J49&lt;0,"Saldo negativo","Em dia"))))</f>
        <v/>
      </c>
    </row>
    <row r="50" customFormat="false" ht="15" hidden="false" customHeight="false" outlineLevel="0" collapsed="false">
      <c r="A50" s="73"/>
      <c r="B50" s="41"/>
      <c r="C50" s="67"/>
      <c r="D50" s="70"/>
      <c r="E50" s="41"/>
      <c r="F50" s="74" t="str">
        <f aca="false">IF(AND(A50&lt;&gt;"",C50="Crédito"),EDATE(A50,PrazoBanco),"")</f>
        <v/>
      </c>
      <c r="H50" s="41"/>
      <c r="I50" s="75" t="str">
        <f aca="false">IF(H50="","",SUMIFS($D$5:$D$504,$B$5:$B$504,H50,$C$5:$C$504,"Crédito"))</f>
        <v/>
      </c>
      <c r="J50" s="75" t="str">
        <f aca="false">IF(H50="","",SUMIFS($D$5:$D$504,$B$5:$B$504,H50,$C$5:$C$504,"Débito"))</f>
        <v/>
      </c>
      <c r="K50" s="76" t="str">
        <f aca="false">IF(H50="","",IF(I50-J50&lt;0,"-","")&amp;TEXT(ABS(I50-J50),"[h]:mm"))</f>
        <v/>
      </c>
      <c r="L50" s="43" t="str">
        <f aca="false">IF(H50="","",MAX(0,SUMIFS($D$5:$D$504,$B$5:$B$504,H50,$C$5:$C$504,"Crédito",$A$5:$A$504,"&lt;="&amp;EDATE(DataRef,-PrazoBanco))-J50))</f>
        <v/>
      </c>
      <c r="M50" s="43" t="str">
        <f aca="false">IF(H50="","",MAX(0,SUMIFS($D$5:$D$504,$B$5:$B$504,H50,$C$5:$C$504,"Crédito",$A$5:$A$504,"&lt;="&amp;EDATE(DataRef+30,-PrazoBanco))-J50)-L50)</f>
        <v/>
      </c>
      <c r="N50" s="66"/>
      <c r="O50" s="69" t="str">
        <f aca="false">IF(OR(H50="",N50=""),"",ROUND(L50*24*N50*(1+PctHE1),2))</f>
        <v/>
      </c>
      <c r="P50" s="77" t="str">
        <f aca="false">IF(H50="","",IF(L50&gt;0,"Horas vencidas: pagar como extra",IF(M50&gt;0,"Compensar nos próximos 30 dias",IF(I50-J50&lt;0,"Saldo negativo","Em dia"))))</f>
        <v/>
      </c>
    </row>
    <row r="51" customFormat="false" ht="15" hidden="false" customHeight="false" outlineLevel="0" collapsed="false">
      <c r="A51" s="73"/>
      <c r="B51" s="41"/>
      <c r="C51" s="67"/>
      <c r="D51" s="70"/>
      <c r="E51" s="41"/>
      <c r="F51" s="74" t="str">
        <f aca="false">IF(AND(A51&lt;&gt;"",C51="Crédito"),EDATE(A51,PrazoBanco),"")</f>
        <v/>
      </c>
      <c r="H51" s="41"/>
      <c r="I51" s="75" t="str">
        <f aca="false">IF(H51="","",SUMIFS($D$5:$D$504,$B$5:$B$504,H51,$C$5:$C$504,"Crédito"))</f>
        <v/>
      </c>
      <c r="J51" s="75" t="str">
        <f aca="false">IF(H51="","",SUMIFS($D$5:$D$504,$B$5:$B$504,H51,$C$5:$C$504,"Débito"))</f>
        <v/>
      </c>
      <c r="K51" s="76" t="str">
        <f aca="false">IF(H51="","",IF(I51-J51&lt;0,"-","")&amp;TEXT(ABS(I51-J51),"[h]:mm"))</f>
        <v/>
      </c>
      <c r="L51" s="43" t="str">
        <f aca="false">IF(H51="","",MAX(0,SUMIFS($D$5:$D$504,$B$5:$B$504,H51,$C$5:$C$504,"Crédito",$A$5:$A$504,"&lt;="&amp;EDATE(DataRef,-PrazoBanco))-J51))</f>
        <v/>
      </c>
      <c r="M51" s="43" t="str">
        <f aca="false">IF(H51="","",MAX(0,SUMIFS($D$5:$D$504,$B$5:$B$504,H51,$C$5:$C$504,"Crédito",$A$5:$A$504,"&lt;="&amp;EDATE(DataRef+30,-PrazoBanco))-J51)-L51)</f>
        <v/>
      </c>
      <c r="N51" s="66"/>
      <c r="O51" s="69" t="str">
        <f aca="false">IF(OR(H51="",N51=""),"",ROUND(L51*24*N51*(1+PctHE1),2))</f>
        <v/>
      </c>
      <c r="P51" s="77" t="str">
        <f aca="false">IF(H51="","",IF(L51&gt;0,"Horas vencidas: pagar como extra",IF(M51&gt;0,"Compensar nos próximos 30 dias",IF(I51-J51&lt;0,"Saldo negativo","Em dia"))))</f>
        <v/>
      </c>
    </row>
    <row r="52" customFormat="false" ht="15" hidden="false" customHeight="false" outlineLevel="0" collapsed="false">
      <c r="A52" s="73"/>
      <c r="B52" s="41"/>
      <c r="C52" s="67"/>
      <c r="D52" s="70"/>
      <c r="E52" s="41"/>
      <c r="F52" s="74" t="str">
        <f aca="false">IF(AND(A52&lt;&gt;"",C52="Crédito"),EDATE(A52,PrazoBanco),"")</f>
        <v/>
      </c>
      <c r="H52" s="41"/>
      <c r="I52" s="75" t="str">
        <f aca="false">IF(H52="","",SUMIFS($D$5:$D$504,$B$5:$B$504,H52,$C$5:$C$504,"Crédito"))</f>
        <v/>
      </c>
      <c r="J52" s="75" t="str">
        <f aca="false">IF(H52="","",SUMIFS($D$5:$D$504,$B$5:$B$504,H52,$C$5:$C$504,"Débito"))</f>
        <v/>
      </c>
      <c r="K52" s="76" t="str">
        <f aca="false">IF(H52="","",IF(I52-J52&lt;0,"-","")&amp;TEXT(ABS(I52-J52),"[h]:mm"))</f>
        <v/>
      </c>
      <c r="L52" s="43" t="str">
        <f aca="false">IF(H52="","",MAX(0,SUMIFS($D$5:$D$504,$B$5:$B$504,H52,$C$5:$C$504,"Crédito",$A$5:$A$504,"&lt;="&amp;EDATE(DataRef,-PrazoBanco))-J52))</f>
        <v/>
      </c>
      <c r="M52" s="43" t="str">
        <f aca="false">IF(H52="","",MAX(0,SUMIFS($D$5:$D$504,$B$5:$B$504,H52,$C$5:$C$504,"Crédito",$A$5:$A$504,"&lt;="&amp;EDATE(DataRef+30,-PrazoBanco))-J52)-L52)</f>
        <v/>
      </c>
      <c r="N52" s="66"/>
      <c r="O52" s="69" t="str">
        <f aca="false">IF(OR(H52="",N52=""),"",ROUND(L52*24*N52*(1+PctHE1),2))</f>
        <v/>
      </c>
      <c r="P52" s="77" t="str">
        <f aca="false">IF(H52="","",IF(L52&gt;0,"Horas vencidas: pagar como extra",IF(M52&gt;0,"Compensar nos próximos 30 dias",IF(I52-J52&lt;0,"Saldo negativo","Em dia"))))</f>
        <v/>
      </c>
    </row>
    <row r="53" customFormat="false" ht="15" hidden="false" customHeight="false" outlineLevel="0" collapsed="false">
      <c r="A53" s="73"/>
      <c r="B53" s="41"/>
      <c r="C53" s="67"/>
      <c r="D53" s="70"/>
      <c r="E53" s="41"/>
      <c r="F53" s="74" t="str">
        <f aca="false">IF(AND(A53&lt;&gt;"",C53="Crédito"),EDATE(A53,PrazoBanco),"")</f>
        <v/>
      </c>
      <c r="H53" s="41"/>
      <c r="I53" s="75" t="str">
        <f aca="false">IF(H53="","",SUMIFS($D$5:$D$504,$B$5:$B$504,H53,$C$5:$C$504,"Crédito"))</f>
        <v/>
      </c>
      <c r="J53" s="75" t="str">
        <f aca="false">IF(H53="","",SUMIFS($D$5:$D$504,$B$5:$B$504,H53,$C$5:$C$504,"Débito"))</f>
        <v/>
      </c>
      <c r="K53" s="76" t="str">
        <f aca="false">IF(H53="","",IF(I53-J53&lt;0,"-","")&amp;TEXT(ABS(I53-J53),"[h]:mm"))</f>
        <v/>
      </c>
      <c r="L53" s="43" t="str">
        <f aca="false">IF(H53="","",MAX(0,SUMIFS($D$5:$D$504,$B$5:$B$504,H53,$C$5:$C$504,"Crédito",$A$5:$A$504,"&lt;="&amp;EDATE(DataRef,-PrazoBanco))-J53))</f>
        <v/>
      </c>
      <c r="M53" s="43" t="str">
        <f aca="false">IF(H53="","",MAX(0,SUMIFS($D$5:$D$504,$B$5:$B$504,H53,$C$5:$C$504,"Crédito",$A$5:$A$504,"&lt;="&amp;EDATE(DataRef+30,-PrazoBanco))-J53)-L53)</f>
        <v/>
      </c>
      <c r="N53" s="66"/>
      <c r="O53" s="69" t="str">
        <f aca="false">IF(OR(H53="",N53=""),"",ROUND(L53*24*N53*(1+PctHE1),2))</f>
        <v/>
      </c>
      <c r="P53" s="77" t="str">
        <f aca="false">IF(H53="","",IF(L53&gt;0,"Horas vencidas: pagar como extra",IF(M53&gt;0,"Compensar nos próximos 30 dias",IF(I53-J53&lt;0,"Saldo negativo","Em dia"))))</f>
        <v/>
      </c>
    </row>
    <row r="54" customFormat="false" ht="15" hidden="false" customHeight="false" outlineLevel="0" collapsed="false">
      <c r="A54" s="73"/>
      <c r="B54" s="41"/>
      <c r="C54" s="67"/>
      <c r="D54" s="70"/>
      <c r="E54" s="41"/>
      <c r="F54" s="74" t="str">
        <f aca="false">IF(AND(A54&lt;&gt;"",C54="Crédito"),EDATE(A54,PrazoBanco),"")</f>
        <v/>
      </c>
      <c r="H54" s="41"/>
      <c r="I54" s="75" t="str">
        <f aca="false">IF(H54="","",SUMIFS($D$5:$D$504,$B$5:$B$504,H54,$C$5:$C$504,"Crédito"))</f>
        <v/>
      </c>
      <c r="J54" s="75" t="str">
        <f aca="false">IF(H54="","",SUMIFS($D$5:$D$504,$B$5:$B$504,H54,$C$5:$C$504,"Débito"))</f>
        <v/>
      </c>
      <c r="K54" s="76" t="str">
        <f aca="false">IF(H54="","",IF(I54-J54&lt;0,"-","")&amp;TEXT(ABS(I54-J54),"[h]:mm"))</f>
        <v/>
      </c>
      <c r="L54" s="43" t="str">
        <f aca="false">IF(H54="","",MAX(0,SUMIFS($D$5:$D$504,$B$5:$B$504,H54,$C$5:$C$504,"Crédito",$A$5:$A$504,"&lt;="&amp;EDATE(DataRef,-PrazoBanco))-J54))</f>
        <v/>
      </c>
      <c r="M54" s="43" t="str">
        <f aca="false">IF(H54="","",MAX(0,SUMIFS($D$5:$D$504,$B$5:$B$504,H54,$C$5:$C$504,"Crédito",$A$5:$A$504,"&lt;="&amp;EDATE(DataRef+30,-PrazoBanco))-J54)-L54)</f>
        <v/>
      </c>
      <c r="N54" s="66"/>
      <c r="O54" s="69" t="str">
        <f aca="false">IF(OR(H54="",N54=""),"",ROUND(L54*24*N54*(1+PctHE1),2))</f>
        <v/>
      </c>
      <c r="P54" s="77" t="str">
        <f aca="false">IF(H54="","",IF(L54&gt;0,"Horas vencidas: pagar como extra",IF(M54&gt;0,"Compensar nos próximos 30 dias",IF(I54-J54&lt;0,"Saldo negativo","Em dia"))))</f>
        <v/>
      </c>
    </row>
    <row r="55" customFormat="false" ht="15" hidden="false" customHeight="false" outlineLevel="0" collapsed="false">
      <c r="A55" s="73"/>
      <c r="B55" s="41"/>
      <c r="C55" s="67"/>
      <c r="D55" s="70"/>
      <c r="E55" s="41"/>
      <c r="F55" s="74" t="str">
        <f aca="false">IF(AND(A55&lt;&gt;"",C55="Crédito"),EDATE(A55,PrazoBanco),"")</f>
        <v/>
      </c>
    </row>
    <row r="56" customFormat="false" ht="15" hidden="false" customHeight="true" outlineLevel="0" collapsed="false">
      <c r="A56" s="73"/>
      <c r="B56" s="41"/>
      <c r="C56" s="67"/>
      <c r="D56" s="70"/>
      <c r="E56" s="41"/>
      <c r="F56" s="74" t="str">
        <f aca="false">IF(AND(A56&lt;&gt;"",C56="Crédito"),EDATE(A56,PrazoBanco),"")</f>
        <v/>
      </c>
      <c r="H56" s="12" t="s">
        <v>222</v>
      </c>
      <c r="I56" s="12"/>
      <c r="J56" s="12"/>
      <c r="K56" s="12"/>
      <c r="L56" s="12"/>
      <c r="M56" s="12"/>
      <c r="N56" s="12"/>
      <c r="O56" s="12"/>
      <c r="P56" s="12"/>
    </row>
    <row r="57" customFormat="false" ht="15" hidden="false" customHeight="false" outlineLevel="0" collapsed="false">
      <c r="A57" s="73"/>
      <c r="B57" s="41"/>
      <c r="C57" s="67"/>
      <c r="D57" s="70"/>
      <c r="E57" s="41"/>
      <c r="F57" s="74" t="str">
        <f aca="false">IF(AND(A57&lt;&gt;"",C57="Crédito"),EDATE(A57,PrazoBanco),"")</f>
        <v/>
      </c>
      <c r="H57" s="12"/>
      <c r="I57" s="12"/>
      <c r="J57" s="12"/>
      <c r="K57" s="12"/>
      <c r="L57" s="12"/>
      <c r="M57" s="12"/>
      <c r="N57" s="12"/>
      <c r="O57" s="12"/>
      <c r="P57" s="12"/>
    </row>
    <row r="58" customFormat="false" ht="15" hidden="false" customHeight="false" outlineLevel="0" collapsed="false">
      <c r="A58" s="73"/>
      <c r="B58" s="41"/>
      <c r="C58" s="67"/>
      <c r="D58" s="70"/>
      <c r="E58" s="41"/>
      <c r="F58" s="74" t="str">
        <f aca="false">IF(AND(A58&lt;&gt;"",C58="Crédito"),EDATE(A58,PrazoBanco),"")</f>
        <v/>
      </c>
      <c r="H58" s="12"/>
      <c r="I58" s="12"/>
      <c r="J58" s="12"/>
      <c r="K58" s="12"/>
      <c r="L58" s="12"/>
      <c r="M58" s="12"/>
      <c r="N58" s="12"/>
      <c r="O58" s="12"/>
      <c r="P58" s="12"/>
    </row>
    <row r="59" customFormat="false" ht="15" hidden="false" customHeight="false" outlineLevel="0" collapsed="false">
      <c r="A59" s="73"/>
      <c r="B59" s="41"/>
      <c r="C59" s="67"/>
      <c r="D59" s="70"/>
      <c r="E59" s="41"/>
      <c r="F59" s="74" t="str">
        <f aca="false">IF(AND(A59&lt;&gt;"",C59="Crédito"),EDATE(A59,PrazoBanco),"")</f>
        <v/>
      </c>
      <c r="H59" s="12"/>
      <c r="I59" s="12"/>
      <c r="J59" s="12"/>
      <c r="K59" s="12"/>
      <c r="L59" s="12"/>
      <c r="M59" s="12"/>
      <c r="N59" s="12"/>
      <c r="O59" s="12"/>
      <c r="P59" s="12"/>
    </row>
    <row r="60" customFormat="false" ht="15" hidden="false" customHeight="false" outlineLevel="0" collapsed="false">
      <c r="A60" s="73"/>
      <c r="B60" s="41"/>
      <c r="C60" s="67"/>
      <c r="D60" s="70"/>
      <c r="E60" s="41"/>
      <c r="F60" s="74" t="str">
        <f aca="false">IF(AND(A60&lt;&gt;"",C60="Crédito"),EDATE(A60,PrazoBanco),"")</f>
        <v/>
      </c>
      <c r="H60" s="12"/>
      <c r="I60" s="12"/>
      <c r="J60" s="12"/>
      <c r="K60" s="12"/>
      <c r="L60" s="12"/>
      <c r="M60" s="12"/>
      <c r="N60" s="12"/>
      <c r="O60" s="12"/>
      <c r="P60" s="12"/>
    </row>
    <row r="61" customFormat="false" ht="15" hidden="false" customHeight="false" outlineLevel="0" collapsed="false">
      <c r="A61" s="73"/>
      <c r="B61" s="41"/>
      <c r="C61" s="67"/>
      <c r="D61" s="70"/>
      <c r="E61" s="41"/>
      <c r="F61" s="74" t="str">
        <f aca="false">IF(AND(A61&lt;&gt;"",C61="Crédito"),EDATE(A61,PrazoBanco),"")</f>
        <v/>
      </c>
    </row>
    <row r="62" customFormat="false" ht="15" hidden="false" customHeight="false" outlineLevel="0" collapsed="false">
      <c r="A62" s="73"/>
      <c r="B62" s="41"/>
      <c r="C62" s="67"/>
      <c r="D62" s="70"/>
      <c r="E62" s="41"/>
      <c r="F62" s="74" t="str">
        <f aca="false">IF(AND(A62&lt;&gt;"",C62="Crédito"),EDATE(A62,PrazoBanco),"")</f>
        <v/>
      </c>
    </row>
    <row r="63" customFormat="false" ht="15" hidden="false" customHeight="false" outlineLevel="0" collapsed="false">
      <c r="A63" s="73"/>
      <c r="B63" s="41"/>
      <c r="C63" s="67"/>
      <c r="D63" s="70"/>
      <c r="E63" s="41"/>
      <c r="F63" s="74" t="str">
        <f aca="false">IF(AND(A63&lt;&gt;"",C63="Crédito"),EDATE(A63,PrazoBanco),"")</f>
        <v/>
      </c>
    </row>
    <row r="64" customFormat="false" ht="15" hidden="false" customHeight="false" outlineLevel="0" collapsed="false">
      <c r="A64" s="73"/>
      <c r="B64" s="41"/>
      <c r="C64" s="67"/>
      <c r="D64" s="70"/>
      <c r="E64" s="41"/>
      <c r="F64" s="74" t="str">
        <f aca="false">IF(AND(A64&lt;&gt;"",C64="Crédito"),EDATE(A64,PrazoBanco),"")</f>
        <v/>
      </c>
    </row>
    <row r="65" customFormat="false" ht="15" hidden="false" customHeight="false" outlineLevel="0" collapsed="false">
      <c r="A65" s="73"/>
      <c r="B65" s="41"/>
      <c r="C65" s="67"/>
      <c r="D65" s="70"/>
      <c r="E65" s="41"/>
      <c r="F65" s="74" t="str">
        <f aca="false">IF(AND(A65&lt;&gt;"",C65="Crédito"),EDATE(A65,PrazoBanco),"")</f>
        <v/>
      </c>
    </row>
    <row r="66" customFormat="false" ht="15" hidden="false" customHeight="false" outlineLevel="0" collapsed="false">
      <c r="A66" s="73"/>
      <c r="B66" s="41"/>
      <c r="C66" s="67"/>
      <c r="D66" s="70"/>
      <c r="E66" s="41"/>
      <c r="F66" s="74" t="str">
        <f aca="false">IF(AND(A66&lt;&gt;"",C66="Crédito"),EDATE(A66,PrazoBanco),"")</f>
        <v/>
      </c>
    </row>
    <row r="67" customFormat="false" ht="15" hidden="false" customHeight="false" outlineLevel="0" collapsed="false">
      <c r="A67" s="73"/>
      <c r="B67" s="41"/>
      <c r="C67" s="67"/>
      <c r="D67" s="70"/>
      <c r="E67" s="41"/>
      <c r="F67" s="74" t="str">
        <f aca="false">IF(AND(A67&lt;&gt;"",C67="Crédito"),EDATE(A67,PrazoBanco),"")</f>
        <v/>
      </c>
    </row>
    <row r="68" customFormat="false" ht="15" hidden="false" customHeight="false" outlineLevel="0" collapsed="false">
      <c r="A68" s="73"/>
      <c r="B68" s="41"/>
      <c r="C68" s="67"/>
      <c r="D68" s="70"/>
      <c r="E68" s="41"/>
      <c r="F68" s="74" t="str">
        <f aca="false">IF(AND(A68&lt;&gt;"",C68="Crédito"),EDATE(A68,PrazoBanco),"")</f>
        <v/>
      </c>
    </row>
    <row r="69" customFormat="false" ht="15" hidden="false" customHeight="false" outlineLevel="0" collapsed="false">
      <c r="A69" s="73"/>
      <c r="B69" s="41"/>
      <c r="C69" s="67"/>
      <c r="D69" s="70"/>
      <c r="E69" s="41"/>
      <c r="F69" s="74" t="str">
        <f aca="false">IF(AND(A69&lt;&gt;"",C69="Crédito"),EDATE(A69,PrazoBanco),"")</f>
        <v/>
      </c>
    </row>
    <row r="70" customFormat="false" ht="15" hidden="false" customHeight="false" outlineLevel="0" collapsed="false">
      <c r="A70" s="73"/>
      <c r="B70" s="41"/>
      <c r="C70" s="67"/>
      <c r="D70" s="70"/>
      <c r="E70" s="41"/>
      <c r="F70" s="74" t="str">
        <f aca="false">IF(AND(A70&lt;&gt;"",C70="Crédito"),EDATE(A70,PrazoBanco),"")</f>
        <v/>
      </c>
    </row>
    <row r="71" customFormat="false" ht="15" hidden="false" customHeight="false" outlineLevel="0" collapsed="false">
      <c r="A71" s="73"/>
      <c r="B71" s="41"/>
      <c r="C71" s="67"/>
      <c r="D71" s="70"/>
      <c r="E71" s="41"/>
      <c r="F71" s="74" t="str">
        <f aca="false">IF(AND(A71&lt;&gt;"",C71="Crédito"),EDATE(A71,PrazoBanco),"")</f>
        <v/>
      </c>
    </row>
    <row r="72" customFormat="false" ht="15" hidden="false" customHeight="false" outlineLevel="0" collapsed="false">
      <c r="A72" s="73"/>
      <c r="B72" s="41"/>
      <c r="C72" s="67"/>
      <c r="D72" s="70"/>
      <c r="E72" s="41"/>
      <c r="F72" s="74" t="str">
        <f aca="false">IF(AND(A72&lt;&gt;"",C72="Crédito"),EDATE(A72,PrazoBanco),"")</f>
        <v/>
      </c>
    </row>
    <row r="73" customFormat="false" ht="15" hidden="false" customHeight="false" outlineLevel="0" collapsed="false">
      <c r="A73" s="73"/>
      <c r="B73" s="41"/>
      <c r="C73" s="67"/>
      <c r="D73" s="70"/>
      <c r="E73" s="41"/>
      <c r="F73" s="74" t="str">
        <f aca="false">IF(AND(A73&lt;&gt;"",C73="Crédito"),EDATE(A73,PrazoBanco),"")</f>
        <v/>
      </c>
    </row>
    <row r="74" customFormat="false" ht="15" hidden="false" customHeight="false" outlineLevel="0" collapsed="false">
      <c r="A74" s="73"/>
      <c r="B74" s="41"/>
      <c r="C74" s="67"/>
      <c r="D74" s="70"/>
      <c r="E74" s="41"/>
      <c r="F74" s="74" t="str">
        <f aca="false">IF(AND(A74&lt;&gt;"",C74="Crédito"),EDATE(A74,PrazoBanco),"")</f>
        <v/>
      </c>
    </row>
    <row r="75" customFormat="false" ht="15" hidden="false" customHeight="false" outlineLevel="0" collapsed="false">
      <c r="A75" s="73"/>
      <c r="B75" s="41"/>
      <c r="C75" s="67"/>
      <c r="D75" s="70"/>
      <c r="E75" s="41"/>
      <c r="F75" s="74" t="str">
        <f aca="false">IF(AND(A75&lt;&gt;"",C75="Crédito"),EDATE(A75,PrazoBanco),"")</f>
        <v/>
      </c>
    </row>
    <row r="76" customFormat="false" ht="15" hidden="false" customHeight="false" outlineLevel="0" collapsed="false">
      <c r="A76" s="73"/>
      <c r="B76" s="41"/>
      <c r="C76" s="67"/>
      <c r="D76" s="70"/>
      <c r="E76" s="41"/>
      <c r="F76" s="74" t="str">
        <f aca="false">IF(AND(A76&lt;&gt;"",C76="Crédito"),EDATE(A76,PrazoBanco),"")</f>
        <v/>
      </c>
    </row>
    <row r="77" customFormat="false" ht="15" hidden="false" customHeight="false" outlineLevel="0" collapsed="false">
      <c r="A77" s="73"/>
      <c r="B77" s="41"/>
      <c r="C77" s="67"/>
      <c r="D77" s="70"/>
      <c r="E77" s="41"/>
      <c r="F77" s="74" t="str">
        <f aca="false">IF(AND(A77&lt;&gt;"",C77="Crédito"),EDATE(A77,PrazoBanco),"")</f>
        <v/>
      </c>
    </row>
    <row r="78" customFormat="false" ht="15" hidden="false" customHeight="false" outlineLevel="0" collapsed="false">
      <c r="A78" s="73"/>
      <c r="B78" s="41"/>
      <c r="C78" s="67"/>
      <c r="D78" s="70"/>
      <c r="E78" s="41"/>
      <c r="F78" s="74" t="str">
        <f aca="false">IF(AND(A78&lt;&gt;"",C78="Crédito"),EDATE(A78,PrazoBanco),"")</f>
        <v/>
      </c>
    </row>
    <row r="79" customFormat="false" ht="15" hidden="false" customHeight="false" outlineLevel="0" collapsed="false">
      <c r="A79" s="73"/>
      <c r="B79" s="41"/>
      <c r="C79" s="67"/>
      <c r="D79" s="70"/>
      <c r="E79" s="41"/>
      <c r="F79" s="74" t="str">
        <f aca="false">IF(AND(A79&lt;&gt;"",C79="Crédito"),EDATE(A79,PrazoBanco),"")</f>
        <v/>
      </c>
    </row>
    <row r="80" customFormat="false" ht="15" hidden="false" customHeight="false" outlineLevel="0" collapsed="false">
      <c r="A80" s="73"/>
      <c r="B80" s="41"/>
      <c r="C80" s="67"/>
      <c r="D80" s="70"/>
      <c r="E80" s="41"/>
      <c r="F80" s="74" t="str">
        <f aca="false">IF(AND(A80&lt;&gt;"",C80="Crédito"),EDATE(A80,PrazoBanco),"")</f>
        <v/>
      </c>
    </row>
    <row r="81" customFormat="false" ht="15" hidden="false" customHeight="false" outlineLevel="0" collapsed="false">
      <c r="A81" s="73"/>
      <c r="B81" s="41"/>
      <c r="C81" s="67"/>
      <c r="D81" s="70"/>
      <c r="E81" s="41"/>
      <c r="F81" s="74" t="str">
        <f aca="false">IF(AND(A81&lt;&gt;"",C81="Crédito"),EDATE(A81,PrazoBanco),"")</f>
        <v/>
      </c>
    </row>
    <row r="82" customFormat="false" ht="15" hidden="false" customHeight="false" outlineLevel="0" collapsed="false">
      <c r="A82" s="73"/>
      <c r="B82" s="41"/>
      <c r="C82" s="67"/>
      <c r="D82" s="70"/>
      <c r="E82" s="41"/>
      <c r="F82" s="74" t="str">
        <f aca="false">IF(AND(A82&lt;&gt;"",C82="Crédito"),EDATE(A82,PrazoBanco),"")</f>
        <v/>
      </c>
    </row>
    <row r="83" customFormat="false" ht="15" hidden="false" customHeight="false" outlineLevel="0" collapsed="false">
      <c r="A83" s="73"/>
      <c r="B83" s="41"/>
      <c r="C83" s="67"/>
      <c r="D83" s="70"/>
      <c r="E83" s="41"/>
      <c r="F83" s="74" t="str">
        <f aca="false">IF(AND(A83&lt;&gt;"",C83="Crédito"),EDATE(A83,PrazoBanco),"")</f>
        <v/>
      </c>
    </row>
    <row r="84" customFormat="false" ht="15" hidden="false" customHeight="false" outlineLevel="0" collapsed="false">
      <c r="A84" s="73"/>
      <c r="B84" s="41"/>
      <c r="C84" s="67"/>
      <c r="D84" s="70"/>
      <c r="E84" s="41"/>
      <c r="F84" s="74" t="str">
        <f aca="false">IF(AND(A84&lt;&gt;"",C84="Crédito"),EDATE(A84,PrazoBanco),"")</f>
        <v/>
      </c>
    </row>
    <row r="85" customFormat="false" ht="15" hidden="false" customHeight="false" outlineLevel="0" collapsed="false">
      <c r="A85" s="73"/>
      <c r="B85" s="41"/>
      <c r="C85" s="67"/>
      <c r="D85" s="70"/>
      <c r="E85" s="41"/>
      <c r="F85" s="74" t="str">
        <f aca="false">IF(AND(A85&lt;&gt;"",C85="Crédito"),EDATE(A85,PrazoBanco),"")</f>
        <v/>
      </c>
    </row>
    <row r="86" customFormat="false" ht="15" hidden="false" customHeight="false" outlineLevel="0" collapsed="false">
      <c r="A86" s="73"/>
      <c r="B86" s="41"/>
      <c r="C86" s="67"/>
      <c r="D86" s="70"/>
      <c r="E86" s="41"/>
      <c r="F86" s="74" t="str">
        <f aca="false">IF(AND(A86&lt;&gt;"",C86="Crédito"),EDATE(A86,PrazoBanco),"")</f>
        <v/>
      </c>
    </row>
    <row r="87" customFormat="false" ht="15" hidden="false" customHeight="false" outlineLevel="0" collapsed="false">
      <c r="A87" s="73"/>
      <c r="B87" s="41"/>
      <c r="C87" s="67"/>
      <c r="D87" s="70"/>
      <c r="E87" s="41"/>
      <c r="F87" s="74" t="str">
        <f aca="false">IF(AND(A87&lt;&gt;"",C87="Crédito"),EDATE(A87,PrazoBanco),"")</f>
        <v/>
      </c>
    </row>
    <row r="88" customFormat="false" ht="15" hidden="false" customHeight="false" outlineLevel="0" collapsed="false">
      <c r="A88" s="73"/>
      <c r="B88" s="41"/>
      <c r="C88" s="67"/>
      <c r="D88" s="70"/>
      <c r="E88" s="41"/>
      <c r="F88" s="74" t="str">
        <f aca="false">IF(AND(A88&lt;&gt;"",C88="Crédito"),EDATE(A88,PrazoBanco),"")</f>
        <v/>
      </c>
    </row>
    <row r="89" customFormat="false" ht="15" hidden="false" customHeight="false" outlineLevel="0" collapsed="false">
      <c r="A89" s="73"/>
      <c r="B89" s="41"/>
      <c r="C89" s="67"/>
      <c r="D89" s="70"/>
      <c r="E89" s="41"/>
      <c r="F89" s="74" t="str">
        <f aca="false">IF(AND(A89&lt;&gt;"",C89="Crédito"),EDATE(A89,PrazoBanco),"")</f>
        <v/>
      </c>
    </row>
    <row r="90" customFormat="false" ht="15" hidden="false" customHeight="false" outlineLevel="0" collapsed="false">
      <c r="A90" s="73"/>
      <c r="B90" s="41"/>
      <c r="C90" s="67"/>
      <c r="D90" s="70"/>
      <c r="E90" s="41"/>
      <c r="F90" s="74" t="str">
        <f aca="false">IF(AND(A90&lt;&gt;"",C90="Crédito"),EDATE(A90,PrazoBanco),"")</f>
        <v/>
      </c>
    </row>
    <row r="91" customFormat="false" ht="15" hidden="false" customHeight="false" outlineLevel="0" collapsed="false">
      <c r="A91" s="73"/>
      <c r="B91" s="41"/>
      <c r="C91" s="67"/>
      <c r="D91" s="70"/>
      <c r="E91" s="41"/>
      <c r="F91" s="74" t="str">
        <f aca="false">IF(AND(A91&lt;&gt;"",C91="Crédito"),EDATE(A91,PrazoBanco),"")</f>
        <v/>
      </c>
    </row>
    <row r="92" customFormat="false" ht="15" hidden="false" customHeight="false" outlineLevel="0" collapsed="false">
      <c r="A92" s="73"/>
      <c r="B92" s="41"/>
      <c r="C92" s="67"/>
      <c r="D92" s="70"/>
      <c r="E92" s="41"/>
      <c r="F92" s="74" t="str">
        <f aca="false">IF(AND(A92&lt;&gt;"",C92="Crédito"),EDATE(A92,PrazoBanco),"")</f>
        <v/>
      </c>
    </row>
    <row r="93" customFormat="false" ht="15" hidden="false" customHeight="false" outlineLevel="0" collapsed="false">
      <c r="A93" s="73"/>
      <c r="B93" s="41"/>
      <c r="C93" s="67"/>
      <c r="D93" s="70"/>
      <c r="E93" s="41"/>
      <c r="F93" s="74" t="str">
        <f aca="false">IF(AND(A93&lt;&gt;"",C93="Crédito"),EDATE(A93,PrazoBanco),"")</f>
        <v/>
      </c>
    </row>
    <row r="94" customFormat="false" ht="15" hidden="false" customHeight="false" outlineLevel="0" collapsed="false">
      <c r="A94" s="73"/>
      <c r="B94" s="41"/>
      <c r="C94" s="67"/>
      <c r="D94" s="70"/>
      <c r="E94" s="41"/>
      <c r="F94" s="74" t="str">
        <f aca="false">IF(AND(A94&lt;&gt;"",C94="Crédito"),EDATE(A94,PrazoBanco),"")</f>
        <v/>
      </c>
    </row>
    <row r="95" customFormat="false" ht="15" hidden="false" customHeight="false" outlineLevel="0" collapsed="false">
      <c r="A95" s="73"/>
      <c r="B95" s="41"/>
      <c r="C95" s="67"/>
      <c r="D95" s="70"/>
      <c r="E95" s="41"/>
      <c r="F95" s="74" t="str">
        <f aca="false">IF(AND(A95&lt;&gt;"",C95="Crédito"),EDATE(A95,PrazoBanco),"")</f>
        <v/>
      </c>
    </row>
    <row r="96" customFormat="false" ht="15" hidden="false" customHeight="false" outlineLevel="0" collapsed="false">
      <c r="A96" s="73"/>
      <c r="B96" s="41"/>
      <c r="C96" s="67"/>
      <c r="D96" s="70"/>
      <c r="E96" s="41"/>
      <c r="F96" s="74" t="str">
        <f aca="false">IF(AND(A96&lt;&gt;"",C96="Crédito"),EDATE(A96,PrazoBanco),"")</f>
        <v/>
      </c>
    </row>
    <row r="97" customFormat="false" ht="15" hidden="false" customHeight="false" outlineLevel="0" collapsed="false">
      <c r="A97" s="73"/>
      <c r="B97" s="41"/>
      <c r="C97" s="67"/>
      <c r="D97" s="70"/>
      <c r="E97" s="41"/>
      <c r="F97" s="74" t="str">
        <f aca="false">IF(AND(A97&lt;&gt;"",C97="Crédito"),EDATE(A97,PrazoBanco),"")</f>
        <v/>
      </c>
    </row>
    <row r="98" customFormat="false" ht="15" hidden="false" customHeight="false" outlineLevel="0" collapsed="false">
      <c r="A98" s="73"/>
      <c r="B98" s="41"/>
      <c r="C98" s="67"/>
      <c r="D98" s="70"/>
      <c r="E98" s="41"/>
      <c r="F98" s="74" t="str">
        <f aca="false">IF(AND(A98&lt;&gt;"",C98="Crédito"),EDATE(A98,PrazoBanco),"")</f>
        <v/>
      </c>
    </row>
    <row r="99" customFormat="false" ht="15" hidden="false" customHeight="false" outlineLevel="0" collapsed="false">
      <c r="A99" s="73"/>
      <c r="B99" s="41"/>
      <c r="C99" s="67"/>
      <c r="D99" s="70"/>
      <c r="E99" s="41"/>
      <c r="F99" s="74" t="str">
        <f aca="false">IF(AND(A99&lt;&gt;"",C99="Crédito"),EDATE(A99,PrazoBanco),"")</f>
        <v/>
      </c>
    </row>
    <row r="100" customFormat="false" ht="15" hidden="false" customHeight="false" outlineLevel="0" collapsed="false">
      <c r="A100" s="73"/>
      <c r="B100" s="41"/>
      <c r="C100" s="67"/>
      <c r="D100" s="70"/>
      <c r="E100" s="41"/>
      <c r="F100" s="74" t="str">
        <f aca="false">IF(AND(A100&lt;&gt;"",C100="Crédito"),EDATE(A100,PrazoBanco),"")</f>
        <v/>
      </c>
    </row>
    <row r="101" customFormat="false" ht="15" hidden="false" customHeight="false" outlineLevel="0" collapsed="false">
      <c r="A101" s="73"/>
      <c r="B101" s="41"/>
      <c r="C101" s="67"/>
      <c r="D101" s="70"/>
      <c r="E101" s="41"/>
      <c r="F101" s="74" t="str">
        <f aca="false">IF(AND(A101&lt;&gt;"",C101="Crédito"),EDATE(A101,PrazoBanco),"")</f>
        <v/>
      </c>
    </row>
    <row r="102" customFormat="false" ht="15" hidden="false" customHeight="false" outlineLevel="0" collapsed="false">
      <c r="A102" s="73"/>
      <c r="B102" s="41"/>
      <c r="C102" s="67"/>
      <c r="D102" s="70"/>
      <c r="E102" s="41"/>
      <c r="F102" s="74" t="str">
        <f aca="false">IF(AND(A102&lt;&gt;"",C102="Crédito"),EDATE(A102,PrazoBanco),"")</f>
        <v/>
      </c>
    </row>
    <row r="103" customFormat="false" ht="15" hidden="false" customHeight="false" outlineLevel="0" collapsed="false">
      <c r="A103" s="73"/>
      <c r="B103" s="41"/>
      <c r="C103" s="67"/>
      <c r="D103" s="70"/>
      <c r="E103" s="41"/>
      <c r="F103" s="74" t="str">
        <f aca="false">IF(AND(A103&lt;&gt;"",C103="Crédito"),EDATE(A103,PrazoBanco),"")</f>
        <v/>
      </c>
    </row>
    <row r="104" customFormat="false" ht="15" hidden="false" customHeight="false" outlineLevel="0" collapsed="false">
      <c r="A104" s="73"/>
      <c r="B104" s="41"/>
      <c r="C104" s="67"/>
      <c r="D104" s="70"/>
      <c r="E104" s="41"/>
      <c r="F104" s="74" t="str">
        <f aca="false">IF(AND(A104&lt;&gt;"",C104="Crédito"),EDATE(A104,PrazoBanco),"")</f>
        <v/>
      </c>
    </row>
    <row r="105" customFormat="false" ht="15" hidden="false" customHeight="false" outlineLevel="0" collapsed="false">
      <c r="A105" s="73"/>
      <c r="B105" s="41"/>
      <c r="C105" s="67"/>
      <c r="D105" s="70"/>
      <c r="E105" s="41"/>
      <c r="F105" s="74" t="str">
        <f aca="false">IF(AND(A105&lt;&gt;"",C105="Crédito"),EDATE(A105,PrazoBanco),"")</f>
        <v/>
      </c>
    </row>
    <row r="106" customFormat="false" ht="15" hidden="false" customHeight="false" outlineLevel="0" collapsed="false">
      <c r="A106" s="73"/>
      <c r="B106" s="41"/>
      <c r="C106" s="67"/>
      <c r="D106" s="70"/>
      <c r="E106" s="41"/>
      <c r="F106" s="74" t="str">
        <f aca="false">IF(AND(A106&lt;&gt;"",C106="Crédito"),EDATE(A106,PrazoBanco),"")</f>
        <v/>
      </c>
    </row>
    <row r="107" customFormat="false" ht="15" hidden="false" customHeight="false" outlineLevel="0" collapsed="false">
      <c r="A107" s="73"/>
      <c r="B107" s="41"/>
      <c r="C107" s="67"/>
      <c r="D107" s="70"/>
      <c r="E107" s="41"/>
      <c r="F107" s="74" t="str">
        <f aca="false">IF(AND(A107&lt;&gt;"",C107="Crédito"),EDATE(A107,PrazoBanco),"")</f>
        <v/>
      </c>
    </row>
    <row r="108" customFormat="false" ht="15" hidden="false" customHeight="false" outlineLevel="0" collapsed="false">
      <c r="A108" s="73"/>
      <c r="B108" s="41"/>
      <c r="C108" s="67"/>
      <c r="D108" s="70"/>
      <c r="E108" s="41"/>
      <c r="F108" s="74" t="str">
        <f aca="false">IF(AND(A108&lt;&gt;"",C108="Crédito"),EDATE(A108,PrazoBanco),"")</f>
        <v/>
      </c>
    </row>
    <row r="109" customFormat="false" ht="15" hidden="false" customHeight="false" outlineLevel="0" collapsed="false">
      <c r="A109" s="73"/>
      <c r="B109" s="41"/>
      <c r="C109" s="67"/>
      <c r="D109" s="70"/>
      <c r="E109" s="41"/>
      <c r="F109" s="74" t="str">
        <f aca="false">IF(AND(A109&lt;&gt;"",C109="Crédito"),EDATE(A109,PrazoBanco),"")</f>
        <v/>
      </c>
    </row>
    <row r="110" customFormat="false" ht="15" hidden="false" customHeight="false" outlineLevel="0" collapsed="false">
      <c r="A110" s="73"/>
      <c r="B110" s="41"/>
      <c r="C110" s="67"/>
      <c r="D110" s="70"/>
      <c r="E110" s="41"/>
      <c r="F110" s="74" t="str">
        <f aca="false">IF(AND(A110&lt;&gt;"",C110="Crédito"),EDATE(A110,PrazoBanco),"")</f>
        <v/>
      </c>
    </row>
    <row r="111" customFormat="false" ht="15" hidden="false" customHeight="false" outlineLevel="0" collapsed="false">
      <c r="A111" s="73"/>
      <c r="B111" s="41"/>
      <c r="C111" s="67"/>
      <c r="D111" s="70"/>
      <c r="E111" s="41"/>
      <c r="F111" s="74" t="str">
        <f aca="false">IF(AND(A111&lt;&gt;"",C111="Crédito"),EDATE(A111,PrazoBanco),"")</f>
        <v/>
      </c>
    </row>
    <row r="112" customFormat="false" ht="15" hidden="false" customHeight="false" outlineLevel="0" collapsed="false">
      <c r="A112" s="73"/>
      <c r="B112" s="41"/>
      <c r="C112" s="67"/>
      <c r="D112" s="70"/>
      <c r="E112" s="41"/>
      <c r="F112" s="74" t="str">
        <f aca="false">IF(AND(A112&lt;&gt;"",C112="Crédito"),EDATE(A112,PrazoBanco),"")</f>
        <v/>
      </c>
    </row>
    <row r="113" customFormat="false" ht="15" hidden="false" customHeight="false" outlineLevel="0" collapsed="false">
      <c r="A113" s="73"/>
      <c r="B113" s="41"/>
      <c r="C113" s="67"/>
      <c r="D113" s="70"/>
      <c r="E113" s="41"/>
      <c r="F113" s="74" t="str">
        <f aca="false">IF(AND(A113&lt;&gt;"",C113="Crédito"),EDATE(A113,PrazoBanco),"")</f>
        <v/>
      </c>
    </row>
    <row r="114" customFormat="false" ht="15" hidden="false" customHeight="false" outlineLevel="0" collapsed="false">
      <c r="A114" s="73"/>
      <c r="B114" s="41"/>
      <c r="C114" s="67"/>
      <c r="D114" s="70"/>
      <c r="E114" s="41"/>
      <c r="F114" s="74" t="str">
        <f aca="false">IF(AND(A114&lt;&gt;"",C114="Crédito"),EDATE(A114,PrazoBanco),"")</f>
        <v/>
      </c>
    </row>
    <row r="115" customFormat="false" ht="15" hidden="false" customHeight="false" outlineLevel="0" collapsed="false">
      <c r="A115" s="73"/>
      <c r="B115" s="41"/>
      <c r="C115" s="67"/>
      <c r="D115" s="70"/>
      <c r="E115" s="41"/>
      <c r="F115" s="74" t="str">
        <f aca="false">IF(AND(A115&lt;&gt;"",C115="Crédito"),EDATE(A115,PrazoBanco),"")</f>
        <v/>
      </c>
    </row>
    <row r="116" customFormat="false" ht="15" hidden="false" customHeight="false" outlineLevel="0" collapsed="false">
      <c r="A116" s="73"/>
      <c r="B116" s="41"/>
      <c r="C116" s="67"/>
      <c r="D116" s="70"/>
      <c r="E116" s="41"/>
      <c r="F116" s="74" t="str">
        <f aca="false">IF(AND(A116&lt;&gt;"",C116="Crédito"),EDATE(A116,PrazoBanco),"")</f>
        <v/>
      </c>
    </row>
    <row r="117" customFormat="false" ht="15" hidden="false" customHeight="false" outlineLevel="0" collapsed="false">
      <c r="A117" s="73"/>
      <c r="B117" s="41"/>
      <c r="C117" s="67"/>
      <c r="D117" s="70"/>
      <c r="E117" s="41"/>
      <c r="F117" s="74" t="str">
        <f aca="false">IF(AND(A117&lt;&gt;"",C117="Crédito"),EDATE(A117,PrazoBanco),"")</f>
        <v/>
      </c>
    </row>
    <row r="118" customFormat="false" ht="15" hidden="false" customHeight="false" outlineLevel="0" collapsed="false">
      <c r="A118" s="73"/>
      <c r="B118" s="41"/>
      <c r="C118" s="67"/>
      <c r="D118" s="70"/>
      <c r="E118" s="41"/>
      <c r="F118" s="74" t="str">
        <f aca="false">IF(AND(A118&lt;&gt;"",C118="Crédito"),EDATE(A118,PrazoBanco),"")</f>
        <v/>
      </c>
    </row>
    <row r="119" customFormat="false" ht="15" hidden="false" customHeight="false" outlineLevel="0" collapsed="false">
      <c r="A119" s="73"/>
      <c r="B119" s="41"/>
      <c r="C119" s="67"/>
      <c r="D119" s="70"/>
      <c r="E119" s="41"/>
      <c r="F119" s="74" t="str">
        <f aca="false">IF(AND(A119&lt;&gt;"",C119="Crédito"),EDATE(A119,PrazoBanco),"")</f>
        <v/>
      </c>
    </row>
    <row r="120" customFormat="false" ht="15" hidden="false" customHeight="false" outlineLevel="0" collapsed="false">
      <c r="A120" s="73"/>
      <c r="B120" s="41"/>
      <c r="C120" s="67"/>
      <c r="D120" s="70"/>
      <c r="E120" s="41"/>
      <c r="F120" s="74" t="str">
        <f aca="false">IF(AND(A120&lt;&gt;"",C120="Crédito"),EDATE(A120,PrazoBanco),"")</f>
        <v/>
      </c>
    </row>
    <row r="121" customFormat="false" ht="15" hidden="false" customHeight="false" outlineLevel="0" collapsed="false">
      <c r="A121" s="73"/>
      <c r="B121" s="41"/>
      <c r="C121" s="67"/>
      <c r="D121" s="70"/>
      <c r="E121" s="41"/>
      <c r="F121" s="74" t="str">
        <f aca="false">IF(AND(A121&lt;&gt;"",C121="Crédito"),EDATE(A121,PrazoBanco),"")</f>
        <v/>
      </c>
    </row>
    <row r="122" customFormat="false" ht="15" hidden="false" customHeight="false" outlineLevel="0" collapsed="false">
      <c r="A122" s="73"/>
      <c r="B122" s="41"/>
      <c r="C122" s="67"/>
      <c r="D122" s="70"/>
      <c r="E122" s="41"/>
      <c r="F122" s="74" t="str">
        <f aca="false">IF(AND(A122&lt;&gt;"",C122="Crédito"),EDATE(A122,PrazoBanco),"")</f>
        <v/>
      </c>
    </row>
    <row r="123" customFormat="false" ht="15" hidden="false" customHeight="false" outlineLevel="0" collapsed="false">
      <c r="A123" s="73"/>
      <c r="B123" s="41"/>
      <c r="C123" s="67"/>
      <c r="D123" s="70"/>
      <c r="E123" s="41"/>
      <c r="F123" s="74" t="str">
        <f aca="false">IF(AND(A123&lt;&gt;"",C123="Crédito"),EDATE(A123,PrazoBanco),"")</f>
        <v/>
      </c>
    </row>
    <row r="124" customFormat="false" ht="15" hidden="false" customHeight="false" outlineLevel="0" collapsed="false">
      <c r="A124" s="73"/>
      <c r="B124" s="41"/>
      <c r="C124" s="67"/>
      <c r="D124" s="70"/>
      <c r="E124" s="41"/>
      <c r="F124" s="74" t="str">
        <f aca="false">IF(AND(A124&lt;&gt;"",C124="Crédito"),EDATE(A124,PrazoBanco),"")</f>
        <v/>
      </c>
    </row>
    <row r="125" customFormat="false" ht="15" hidden="false" customHeight="false" outlineLevel="0" collapsed="false">
      <c r="A125" s="73"/>
      <c r="B125" s="41"/>
      <c r="C125" s="67"/>
      <c r="D125" s="70"/>
      <c r="E125" s="41"/>
      <c r="F125" s="74" t="str">
        <f aca="false">IF(AND(A125&lt;&gt;"",C125="Crédito"),EDATE(A125,PrazoBanco),"")</f>
        <v/>
      </c>
    </row>
    <row r="126" customFormat="false" ht="15" hidden="false" customHeight="false" outlineLevel="0" collapsed="false">
      <c r="A126" s="73"/>
      <c r="B126" s="41"/>
      <c r="C126" s="67"/>
      <c r="D126" s="70"/>
      <c r="E126" s="41"/>
      <c r="F126" s="74" t="str">
        <f aca="false">IF(AND(A126&lt;&gt;"",C126="Crédito"),EDATE(A126,PrazoBanco),"")</f>
        <v/>
      </c>
    </row>
    <row r="127" customFormat="false" ht="15" hidden="false" customHeight="false" outlineLevel="0" collapsed="false">
      <c r="A127" s="73"/>
      <c r="B127" s="41"/>
      <c r="C127" s="67"/>
      <c r="D127" s="70"/>
      <c r="E127" s="41"/>
      <c r="F127" s="74" t="str">
        <f aca="false">IF(AND(A127&lt;&gt;"",C127="Crédito"),EDATE(A127,PrazoBanco),"")</f>
        <v/>
      </c>
    </row>
    <row r="128" customFormat="false" ht="15" hidden="false" customHeight="false" outlineLevel="0" collapsed="false">
      <c r="A128" s="73"/>
      <c r="B128" s="41"/>
      <c r="C128" s="67"/>
      <c r="D128" s="70"/>
      <c r="E128" s="41"/>
      <c r="F128" s="74" t="str">
        <f aca="false">IF(AND(A128&lt;&gt;"",C128="Crédito"),EDATE(A128,PrazoBanco),"")</f>
        <v/>
      </c>
    </row>
    <row r="129" customFormat="false" ht="15" hidden="false" customHeight="false" outlineLevel="0" collapsed="false">
      <c r="A129" s="73"/>
      <c r="B129" s="41"/>
      <c r="C129" s="67"/>
      <c r="D129" s="70"/>
      <c r="E129" s="41"/>
      <c r="F129" s="74" t="str">
        <f aca="false">IF(AND(A129&lt;&gt;"",C129="Crédito"),EDATE(A129,PrazoBanco),"")</f>
        <v/>
      </c>
    </row>
    <row r="130" customFormat="false" ht="15" hidden="false" customHeight="false" outlineLevel="0" collapsed="false">
      <c r="A130" s="73"/>
      <c r="B130" s="41"/>
      <c r="C130" s="67"/>
      <c r="D130" s="70"/>
      <c r="E130" s="41"/>
      <c r="F130" s="74" t="str">
        <f aca="false">IF(AND(A130&lt;&gt;"",C130="Crédito"),EDATE(A130,PrazoBanco),"")</f>
        <v/>
      </c>
    </row>
    <row r="131" customFormat="false" ht="15" hidden="false" customHeight="false" outlineLevel="0" collapsed="false">
      <c r="A131" s="73"/>
      <c r="B131" s="41"/>
      <c r="C131" s="67"/>
      <c r="D131" s="70"/>
      <c r="E131" s="41"/>
      <c r="F131" s="74" t="str">
        <f aca="false">IF(AND(A131&lt;&gt;"",C131="Crédito"),EDATE(A131,PrazoBanco),"")</f>
        <v/>
      </c>
    </row>
    <row r="132" customFormat="false" ht="15" hidden="false" customHeight="false" outlineLevel="0" collapsed="false">
      <c r="A132" s="73"/>
      <c r="B132" s="41"/>
      <c r="C132" s="67"/>
      <c r="D132" s="70"/>
      <c r="E132" s="41"/>
      <c r="F132" s="74" t="str">
        <f aca="false">IF(AND(A132&lt;&gt;"",C132="Crédito"),EDATE(A132,PrazoBanco),"")</f>
        <v/>
      </c>
    </row>
    <row r="133" customFormat="false" ht="15" hidden="false" customHeight="false" outlineLevel="0" collapsed="false">
      <c r="A133" s="73"/>
      <c r="B133" s="41"/>
      <c r="C133" s="67"/>
      <c r="D133" s="70"/>
      <c r="E133" s="41"/>
      <c r="F133" s="74" t="str">
        <f aca="false">IF(AND(A133&lt;&gt;"",C133="Crédito"),EDATE(A133,PrazoBanco),"")</f>
        <v/>
      </c>
    </row>
    <row r="134" customFormat="false" ht="15" hidden="false" customHeight="false" outlineLevel="0" collapsed="false">
      <c r="A134" s="73"/>
      <c r="B134" s="41"/>
      <c r="C134" s="67"/>
      <c r="D134" s="70"/>
      <c r="E134" s="41"/>
      <c r="F134" s="74" t="str">
        <f aca="false">IF(AND(A134&lt;&gt;"",C134="Crédito"),EDATE(A134,PrazoBanco),"")</f>
        <v/>
      </c>
    </row>
    <row r="135" customFormat="false" ht="15" hidden="false" customHeight="false" outlineLevel="0" collapsed="false">
      <c r="A135" s="73"/>
      <c r="B135" s="41"/>
      <c r="C135" s="67"/>
      <c r="D135" s="70"/>
      <c r="E135" s="41"/>
      <c r="F135" s="74" t="str">
        <f aca="false">IF(AND(A135&lt;&gt;"",C135="Crédito"),EDATE(A135,PrazoBanco),"")</f>
        <v/>
      </c>
    </row>
    <row r="136" customFormat="false" ht="15" hidden="false" customHeight="false" outlineLevel="0" collapsed="false">
      <c r="A136" s="73"/>
      <c r="B136" s="41"/>
      <c r="C136" s="67"/>
      <c r="D136" s="70"/>
      <c r="E136" s="41"/>
      <c r="F136" s="74" t="str">
        <f aca="false">IF(AND(A136&lt;&gt;"",C136="Crédito"),EDATE(A136,PrazoBanco),"")</f>
        <v/>
      </c>
    </row>
    <row r="137" customFormat="false" ht="15" hidden="false" customHeight="false" outlineLevel="0" collapsed="false">
      <c r="A137" s="73"/>
      <c r="B137" s="41"/>
      <c r="C137" s="67"/>
      <c r="D137" s="70"/>
      <c r="E137" s="41"/>
      <c r="F137" s="74" t="str">
        <f aca="false">IF(AND(A137&lt;&gt;"",C137="Crédito"),EDATE(A137,PrazoBanco),"")</f>
        <v/>
      </c>
    </row>
    <row r="138" customFormat="false" ht="15" hidden="false" customHeight="false" outlineLevel="0" collapsed="false">
      <c r="A138" s="73"/>
      <c r="B138" s="41"/>
      <c r="C138" s="67"/>
      <c r="D138" s="70"/>
      <c r="E138" s="41"/>
      <c r="F138" s="74" t="str">
        <f aca="false">IF(AND(A138&lt;&gt;"",C138="Crédito"),EDATE(A138,PrazoBanco),"")</f>
        <v/>
      </c>
    </row>
    <row r="139" customFormat="false" ht="15" hidden="false" customHeight="false" outlineLevel="0" collapsed="false">
      <c r="A139" s="73"/>
      <c r="B139" s="41"/>
      <c r="C139" s="67"/>
      <c r="D139" s="70"/>
      <c r="E139" s="41"/>
      <c r="F139" s="74" t="str">
        <f aca="false">IF(AND(A139&lt;&gt;"",C139="Crédito"),EDATE(A139,PrazoBanco),"")</f>
        <v/>
      </c>
    </row>
    <row r="140" customFormat="false" ht="15" hidden="false" customHeight="false" outlineLevel="0" collapsed="false">
      <c r="A140" s="73"/>
      <c r="B140" s="41"/>
      <c r="C140" s="67"/>
      <c r="D140" s="70"/>
      <c r="E140" s="41"/>
      <c r="F140" s="74" t="str">
        <f aca="false">IF(AND(A140&lt;&gt;"",C140="Crédito"),EDATE(A140,PrazoBanco),"")</f>
        <v/>
      </c>
    </row>
    <row r="141" customFormat="false" ht="15" hidden="false" customHeight="false" outlineLevel="0" collapsed="false">
      <c r="A141" s="73"/>
      <c r="B141" s="41"/>
      <c r="C141" s="67"/>
      <c r="D141" s="70"/>
      <c r="E141" s="41"/>
      <c r="F141" s="74" t="str">
        <f aca="false">IF(AND(A141&lt;&gt;"",C141="Crédito"),EDATE(A141,PrazoBanco),"")</f>
        <v/>
      </c>
    </row>
    <row r="142" customFormat="false" ht="15" hidden="false" customHeight="false" outlineLevel="0" collapsed="false">
      <c r="A142" s="73"/>
      <c r="B142" s="41"/>
      <c r="C142" s="67"/>
      <c r="D142" s="70"/>
      <c r="E142" s="41"/>
      <c r="F142" s="74" t="str">
        <f aca="false">IF(AND(A142&lt;&gt;"",C142="Crédito"),EDATE(A142,PrazoBanco),"")</f>
        <v/>
      </c>
    </row>
    <row r="143" customFormat="false" ht="15" hidden="false" customHeight="false" outlineLevel="0" collapsed="false">
      <c r="A143" s="73"/>
      <c r="B143" s="41"/>
      <c r="C143" s="67"/>
      <c r="D143" s="70"/>
      <c r="E143" s="41"/>
      <c r="F143" s="74" t="str">
        <f aca="false">IF(AND(A143&lt;&gt;"",C143="Crédito"),EDATE(A143,PrazoBanco),"")</f>
        <v/>
      </c>
    </row>
    <row r="144" customFormat="false" ht="15" hidden="false" customHeight="false" outlineLevel="0" collapsed="false">
      <c r="A144" s="73"/>
      <c r="B144" s="41"/>
      <c r="C144" s="67"/>
      <c r="D144" s="70"/>
      <c r="E144" s="41"/>
      <c r="F144" s="74" t="str">
        <f aca="false">IF(AND(A144&lt;&gt;"",C144="Crédito"),EDATE(A144,PrazoBanco),"")</f>
        <v/>
      </c>
    </row>
    <row r="145" customFormat="false" ht="15" hidden="false" customHeight="false" outlineLevel="0" collapsed="false">
      <c r="A145" s="73"/>
      <c r="B145" s="41"/>
      <c r="C145" s="67"/>
      <c r="D145" s="70"/>
      <c r="E145" s="41"/>
      <c r="F145" s="74" t="str">
        <f aca="false">IF(AND(A145&lt;&gt;"",C145="Crédito"),EDATE(A145,PrazoBanco),"")</f>
        <v/>
      </c>
    </row>
    <row r="146" customFormat="false" ht="15" hidden="false" customHeight="false" outlineLevel="0" collapsed="false">
      <c r="A146" s="73"/>
      <c r="B146" s="41"/>
      <c r="C146" s="67"/>
      <c r="D146" s="70"/>
      <c r="E146" s="41"/>
      <c r="F146" s="74" t="str">
        <f aca="false">IF(AND(A146&lt;&gt;"",C146="Crédito"),EDATE(A146,PrazoBanco),"")</f>
        <v/>
      </c>
    </row>
    <row r="147" customFormat="false" ht="15" hidden="false" customHeight="false" outlineLevel="0" collapsed="false">
      <c r="A147" s="73"/>
      <c r="B147" s="41"/>
      <c r="C147" s="67"/>
      <c r="D147" s="70"/>
      <c r="E147" s="41"/>
      <c r="F147" s="74" t="str">
        <f aca="false">IF(AND(A147&lt;&gt;"",C147="Crédito"),EDATE(A147,PrazoBanco),"")</f>
        <v/>
      </c>
    </row>
    <row r="148" customFormat="false" ht="15" hidden="false" customHeight="false" outlineLevel="0" collapsed="false">
      <c r="A148" s="73"/>
      <c r="B148" s="41"/>
      <c r="C148" s="67"/>
      <c r="D148" s="70"/>
      <c r="E148" s="41"/>
      <c r="F148" s="74" t="str">
        <f aca="false">IF(AND(A148&lt;&gt;"",C148="Crédito"),EDATE(A148,PrazoBanco),"")</f>
        <v/>
      </c>
    </row>
    <row r="149" customFormat="false" ht="15" hidden="false" customHeight="false" outlineLevel="0" collapsed="false">
      <c r="A149" s="73"/>
      <c r="B149" s="41"/>
      <c r="C149" s="67"/>
      <c r="D149" s="70"/>
      <c r="E149" s="41"/>
      <c r="F149" s="74" t="str">
        <f aca="false">IF(AND(A149&lt;&gt;"",C149="Crédito"),EDATE(A149,PrazoBanco),"")</f>
        <v/>
      </c>
    </row>
    <row r="150" customFormat="false" ht="15" hidden="false" customHeight="false" outlineLevel="0" collapsed="false">
      <c r="A150" s="73"/>
      <c r="B150" s="41"/>
      <c r="C150" s="67"/>
      <c r="D150" s="70"/>
      <c r="E150" s="41"/>
      <c r="F150" s="74" t="str">
        <f aca="false">IF(AND(A150&lt;&gt;"",C150="Crédito"),EDATE(A150,PrazoBanco),"")</f>
        <v/>
      </c>
    </row>
    <row r="151" customFormat="false" ht="15" hidden="false" customHeight="false" outlineLevel="0" collapsed="false">
      <c r="A151" s="73"/>
      <c r="B151" s="41"/>
      <c r="C151" s="67"/>
      <c r="D151" s="70"/>
      <c r="E151" s="41"/>
      <c r="F151" s="74" t="str">
        <f aca="false">IF(AND(A151&lt;&gt;"",C151="Crédito"),EDATE(A151,PrazoBanco),"")</f>
        <v/>
      </c>
    </row>
    <row r="152" customFormat="false" ht="15" hidden="false" customHeight="false" outlineLevel="0" collapsed="false">
      <c r="A152" s="73"/>
      <c r="B152" s="41"/>
      <c r="C152" s="67"/>
      <c r="D152" s="70"/>
      <c r="E152" s="41"/>
      <c r="F152" s="74" t="str">
        <f aca="false">IF(AND(A152&lt;&gt;"",C152="Crédito"),EDATE(A152,PrazoBanco),"")</f>
        <v/>
      </c>
    </row>
    <row r="153" customFormat="false" ht="15" hidden="false" customHeight="false" outlineLevel="0" collapsed="false">
      <c r="A153" s="73"/>
      <c r="B153" s="41"/>
      <c r="C153" s="67"/>
      <c r="D153" s="70"/>
      <c r="E153" s="41"/>
      <c r="F153" s="74" t="str">
        <f aca="false">IF(AND(A153&lt;&gt;"",C153="Crédito"),EDATE(A153,PrazoBanco),"")</f>
        <v/>
      </c>
    </row>
    <row r="154" customFormat="false" ht="15" hidden="false" customHeight="false" outlineLevel="0" collapsed="false">
      <c r="A154" s="73"/>
      <c r="B154" s="41"/>
      <c r="C154" s="67"/>
      <c r="D154" s="70"/>
      <c r="E154" s="41"/>
      <c r="F154" s="74" t="str">
        <f aca="false">IF(AND(A154&lt;&gt;"",C154="Crédito"),EDATE(A154,PrazoBanco),"")</f>
        <v/>
      </c>
    </row>
    <row r="155" customFormat="false" ht="15" hidden="false" customHeight="false" outlineLevel="0" collapsed="false">
      <c r="A155" s="73"/>
      <c r="B155" s="41"/>
      <c r="C155" s="67"/>
      <c r="D155" s="70"/>
      <c r="E155" s="41"/>
      <c r="F155" s="74" t="str">
        <f aca="false">IF(AND(A155&lt;&gt;"",C155="Crédito"),EDATE(A155,PrazoBanco),"")</f>
        <v/>
      </c>
    </row>
    <row r="156" customFormat="false" ht="15" hidden="false" customHeight="false" outlineLevel="0" collapsed="false">
      <c r="A156" s="73"/>
      <c r="B156" s="41"/>
      <c r="C156" s="67"/>
      <c r="D156" s="70"/>
      <c r="E156" s="41"/>
      <c r="F156" s="74" t="str">
        <f aca="false">IF(AND(A156&lt;&gt;"",C156="Crédito"),EDATE(A156,PrazoBanco),"")</f>
        <v/>
      </c>
    </row>
    <row r="157" customFormat="false" ht="15" hidden="false" customHeight="false" outlineLevel="0" collapsed="false">
      <c r="A157" s="73"/>
      <c r="B157" s="41"/>
      <c r="C157" s="67"/>
      <c r="D157" s="70"/>
      <c r="E157" s="41"/>
      <c r="F157" s="74" t="str">
        <f aca="false">IF(AND(A157&lt;&gt;"",C157="Crédito"),EDATE(A157,PrazoBanco),"")</f>
        <v/>
      </c>
    </row>
    <row r="158" customFormat="false" ht="15" hidden="false" customHeight="false" outlineLevel="0" collapsed="false">
      <c r="A158" s="73"/>
      <c r="B158" s="41"/>
      <c r="C158" s="67"/>
      <c r="D158" s="70"/>
      <c r="E158" s="41"/>
      <c r="F158" s="74" t="str">
        <f aca="false">IF(AND(A158&lt;&gt;"",C158="Crédito"),EDATE(A158,PrazoBanco),"")</f>
        <v/>
      </c>
    </row>
    <row r="159" customFormat="false" ht="15" hidden="false" customHeight="false" outlineLevel="0" collapsed="false">
      <c r="A159" s="73"/>
      <c r="B159" s="41"/>
      <c r="C159" s="67"/>
      <c r="D159" s="70"/>
      <c r="E159" s="41"/>
      <c r="F159" s="74" t="str">
        <f aca="false">IF(AND(A159&lt;&gt;"",C159="Crédito"),EDATE(A159,PrazoBanco),"")</f>
        <v/>
      </c>
    </row>
    <row r="160" customFormat="false" ht="15" hidden="false" customHeight="false" outlineLevel="0" collapsed="false">
      <c r="A160" s="73"/>
      <c r="B160" s="41"/>
      <c r="C160" s="67"/>
      <c r="D160" s="70"/>
      <c r="E160" s="41"/>
      <c r="F160" s="74" t="str">
        <f aca="false">IF(AND(A160&lt;&gt;"",C160="Crédito"),EDATE(A160,PrazoBanco),"")</f>
        <v/>
      </c>
    </row>
    <row r="161" customFormat="false" ht="15" hidden="false" customHeight="false" outlineLevel="0" collapsed="false">
      <c r="A161" s="73"/>
      <c r="B161" s="41"/>
      <c r="C161" s="67"/>
      <c r="D161" s="70"/>
      <c r="E161" s="41"/>
      <c r="F161" s="74" t="str">
        <f aca="false">IF(AND(A161&lt;&gt;"",C161="Crédito"),EDATE(A161,PrazoBanco),"")</f>
        <v/>
      </c>
    </row>
    <row r="162" customFormat="false" ht="15" hidden="false" customHeight="false" outlineLevel="0" collapsed="false">
      <c r="A162" s="73"/>
      <c r="B162" s="41"/>
      <c r="C162" s="67"/>
      <c r="D162" s="70"/>
      <c r="E162" s="41"/>
      <c r="F162" s="74" t="str">
        <f aca="false">IF(AND(A162&lt;&gt;"",C162="Crédito"),EDATE(A162,PrazoBanco),"")</f>
        <v/>
      </c>
    </row>
    <row r="163" customFormat="false" ht="15" hidden="false" customHeight="false" outlineLevel="0" collapsed="false">
      <c r="A163" s="73"/>
      <c r="B163" s="41"/>
      <c r="C163" s="67"/>
      <c r="D163" s="70"/>
      <c r="E163" s="41"/>
      <c r="F163" s="74" t="str">
        <f aca="false">IF(AND(A163&lt;&gt;"",C163="Crédito"),EDATE(A163,PrazoBanco),"")</f>
        <v/>
      </c>
    </row>
    <row r="164" customFormat="false" ht="15" hidden="false" customHeight="false" outlineLevel="0" collapsed="false">
      <c r="A164" s="73"/>
      <c r="B164" s="41"/>
      <c r="C164" s="67"/>
      <c r="D164" s="70"/>
      <c r="E164" s="41"/>
      <c r="F164" s="74" t="str">
        <f aca="false">IF(AND(A164&lt;&gt;"",C164="Crédito"),EDATE(A164,PrazoBanco),"")</f>
        <v/>
      </c>
    </row>
    <row r="165" customFormat="false" ht="15" hidden="false" customHeight="false" outlineLevel="0" collapsed="false">
      <c r="A165" s="73"/>
      <c r="B165" s="41"/>
      <c r="C165" s="67"/>
      <c r="D165" s="70"/>
      <c r="E165" s="41"/>
      <c r="F165" s="74" t="str">
        <f aca="false">IF(AND(A165&lt;&gt;"",C165="Crédito"),EDATE(A165,PrazoBanco),"")</f>
        <v/>
      </c>
    </row>
    <row r="166" customFormat="false" ht="15" hidden="false" customHeight="false" outlineLevel="0" collapsed="false">
      <c r="A166" s="73"/>
      <c r="B166" s="41"/>
      <c r="C166" s="67"/>
      <c r="D166" s="70"/>
      <c r="E166" s="41"/>
      <c r="F166" s="74" t="str">
        <f aca="false">IF(AND(A166&lt;&gt;"",C166="Crédito"),EDATE(A166,PrazoBanco),"")</f>
        <v/>
      </c>
    </row>
    <row r="167" customFormat="false" ht="15" hidden="false" customHeight="false" outlineLevel="0" collapsed="false">
      <c r="A167" s="73"/>
      <c r="B167" s="41"/>
      <c r="C167" s="67"/>
      <c r="D167" s="70"/>
      <c r="E167" s="41"/>
      <c r="F167" s="74" t="str">
        <f aca="false">IF(AND(A167&lt;&gt;"",C167="Crédito"),EDATE(A167,PrazoBanco),"")</f>
        <v/>
      </c>
    </row>
    <row r="168" customFormat="false" ht="15" hidden="false" customHeight="false" outlineLevel="0" collapsed="false">
      <c r="A168" s="73"/>
      <c r="B168" s="41"/>
      <c r="C168" s="67"/>
      <c r="D168" s="70"/>
      <c r="E168" s="41"/>
      <c r="F168" s="74" t="str">
        <f aca="false">IF(AND(A168&lt;&gt;"",C168="Crédito"),EDATE(A168,PrazoBanco),"")</f>
        <v/>
      </c>
    </row>
    <row r="169" customFormat="false" ht="15" hidden="false" customHeight="false" outlineLevel="0" collapsed="false">
      <c r="A169" s="73"/>
      <c r="B169" s="41"/>
      <c r="C169" s="67"/>
      <c r="D169" s="70"/>
      <c r="E169" s="41"/>
      <c r="F169" s="74" t="str">
        <f aca="false">IF(AND(A169&lt;&gt;"",C169="Crédito"),EDATE(A169,PrazoBanco),"")</f>
        <v/>
      </c>
    </row>
    <row r="170" customFormat="false" ht="15" hidden="false" customHeight="false" outlineLevel="0" collapsed="false">
      <c r="A170" s="73"/>
      <c r="B170" s="41"/>
      <c r="C170" s="67"/>
      <c r="D170" s="70"/>
      <c r="E170" s="41"/>
      <c r="F170" s="74" t="str">
        <f aca="false">IF(AND(A170&lt;&gt;"",C170="Crédito"),EDATE(A170,PrazoBanco),"")</f>
        <v/>
      </c>
    </row>
    <row r="171" customFormat="false" ht="15" hidden="false" customHeight="false" outlineLevel="0" collapsed="false">
      <c r="A171" s="73"/>
      <c r="B171" s="41"/>
      <c r="C171" s="67"/>
      <c r="D171" s="70"/>
      <c r="E171" s="41"/>
      <c r="F171" s="74" t="str">
        <f aca="false">IF(AND(A171&lt;&gt;"",C171="Crédito"),EDATE(A171,PrazoBanco),"")</f>
        <v/>
      </c>
    </row>
    <row r="172" customFormat="false" ht="15" hidden="false" customHeight="false" outlineLevel="0" collapsed="false">
      <c r="A172" s="73"/>
      <c r="B172" s="41"/>
      <c r="C172" s="67"/>
      <c r="D172" s="70"/>
      <c r="E172" s="41"/>
      <c r="F172" s="74" t="str">
        <f aca="false">IF(AND(A172&lt;&gt;"",C172="Crédito"),EDATE(A172,PrazoBanco),"")</f>
        <v/>
      </c>
    </row>
    <row r="173" customFormat="false" ht="15" hidden="false" customHeight="false" outlineLevel="0" collapsed="false">
      <c r="A173" s="73"/>
      <c r="B173" s="41"/>
      <c r="C173" s="67"/>
      <c r="D173" s="70"/>
      <c r="E173" s="41"/>
      <c r="F173" s="74" t="str">
        <f aca="false">IF(AND(A173&lt;&gt;"",C173="Crédito"),EDATE(A173,PrazoBanco),"")</f>
        <v/>
      </c>
    </row>
    <row r="174" customFormat="false" ht="15" hidden="false" customHeight="false" outlineLevel="0" collapsed="false">
      <c r="A174" s="73"/>
      <c r="B174" s="41"/>
      <c r="C174" s="67"/>
      <c r="D174" s="70"/>
      <c r="E174" s="41"/>
      <c r="F174" s="74" t="str">
        <f aca="false">IF(AND(A174&lt;&gt;"",C174="Crédito"),EDATE(A174,PrazoBanco),"")</f>
        <v/>
      </c>
    </row>
    <row r="175" customFormat="false" ht="15" hidden="false" customHeight="false" outlineLevel="0" collapsed="false">
      <c r="A175" s="73"/>
      <c r="B175" s="41"/>
      <c r="C175" s="67"/>
      <c r="D175" s="70"/>
      <c r="E175" s="41"/>
      <c r="F175" s="74" t="str">
        <f aca="false">IF(AND(A175&lt;&gt;"",C175="Crédito"),EDATE(A175,PrazoBanco),"")</f>
        <v/>
      </c>
    </row>
    <row r="176" customFormat="false" ht="15" hidden="false" customHeight="false" outlineLevel="0" collapsed="false">
      <c r="A176" s="73"/>
      <c r="B176" s="41"/>
      <c r="C176" s="67"/>
      <c r="D176" s="70"/>
      <c r="E176" s="41"/>
      <c r="F176" s="74" t="str">
        <f aca="false">IF(AND(A176&lt;&gt;"",C176="Crédito"),EDATE(A176,PrazoBanco),"")</f>
        <v/>
      </c>
    </row>
    <row r="177" customFormat="false" ht="15" hidden="false" customHeight="false" outlineLevel="0" collapsed="false">
      <c r="A177" s="73"/>
      <c r="B177" s="41"/>
      <c r="C177" s="67"/>
      <c r="D177" s="70"/>
      <c r="E177" s="41"/>
      <c r="F177" s="74" t="str">
        <f aca="false">IF(AND(A177&lt;&gt;"",C177="Crédito"),EDATE(A177,PrazoBanco),"")</f>
        <v/>
      </c>
    </row>
    <row r="178" customFormat="false" ht="15" hidden="false" customHeight="false" outlineLevel="0" collapsed="false">
      <c r="A178" s="73"/>
      <c r="B178" s="41"/>
      <c r="C178" s="67"/>
      <c r="D178" s="70"/>
      <c r="E178" s="41"/>
      <c r="F178" s="74" t="str">
        <f aca="false">IF(AND(A178&lt;&gt;"",C178="Crédito"),EDATE(A178,PrazoBanco),"")</f>
        <v/>
      </c>
    </row>
    <row r="179" customFormat="false" ht="15" hidden="false" customHeight="false" outlineLevel="0" collapsed="false">
      <c r="A179" s="73"/>
      <c r="B179" s="41"/>
      <c r="C179" s="67"/>
      <c r="D179" s="70"/>
      <c r="E179" s="41"/>
      <c r="F179" s="74" t="str">
        <f aca="false">IF(AND(A179&lt;&gt;"",C179="Crédito"),EDATE(A179,PrazoBanco),"")</f>
        <v/>
      </c>
    </row>
    <row r="180" customFormat="false" ht="15" hidden="false" customHeight="false" outlineLevel="0" collapsed="false">
      <c r="A180" s="73"/>
      <c r="B180" s="41"/>
      <c r="C180" s="67"/>
      <c r="D180" s="70"/>
      <c r="E180" s="41"/>
      <c r="F180" s="74" t="str">
        <f aca="false">IF(AND(A180&lt;&gt;"",C180="Crédito"),EDATE(A180,PrazoBanco),"")</f>
        <v/>
      </c>
    </row>
    <row r="181" customFormat="false" ht="15" hidden="false" customHeight="false" outlineLevel="0" collapsed="false">
      <c r="A181" s="73"/>
      <c r="B181" s="41"/>
      <c r="C181" s="67"/>
      <c r="D181" s="70"/>
      <c r="E181" s="41"/>
      <c r="F181" s="74" t="str">
        <f aca="false">IF(AND(A181&lt;&gt;"",C181="Crédito"),EDATE(A181,PrazoBanco),"")</f>
        <v/>
      </c>
    </row>
    <row r="182" customFormat="false" ht="15" hidden="false" customHeight="false" outlineLevel="0" collapsed="false">
      <c r="A182" s="73"/>
      <c r="B182" s="41"/>
      <c r="C182" s="67"/>
      <c r="D182" s="70"/>
      <c r="E182" s="41"/>
      <c r="F182" s="74" t="str">
        <f aca="false">IF(AND(A182&lt;&gt;"",C182="Crédito"),EDATE(A182,PrazoBanco),"")</f>
        <v/>
      </c>
    </row>
    <row r="183" customFormat="false" ht="15" hidden="false" customHeight="false" outlineLevel="0" collapsed="false">
      <c r="A183" s="73"/>
      <c r="B183" s="41"/>
      <c r="C183" s="67"/>
      <c r="D183" s="70"/>
      <c r="E183" s="41"/>
      <c r="F183" s="74" t="str">
        <f aca="false">IF(AND(A183&lt;&gt;"",C183="Crédito"),EDATE(A183,PrazoBanco),"")</f>
        <v/>
      </c>
    </row>
    <row r="184" customFormat="false" ht="15" hidden="false" customHeight="false" outlineLevel="0" collapsed="false">
      <c r="A184" s="73"/>
      <c r="B184" s="41"/>
      <c r="C184" s="67"/>
      <c r="D184" s="70"/>
      <c r="E184" s="41"/>
      <c r="F184" s="74" t="str">
        <f aca="false">IF(AND(A184&lt;&gt;"",C184="Crédito"),EDATE(A184,PrazoBanco),"")</f>
        <v/>
      </c>
    </row>
    <row r="185" customFormat="false" ht="15" hidden="false" customHeight="false" outlineLevel="0" collapsed="false">
      <c r="A185" s="73"/>
      <c r="B185" s="41"/>
      <c r="C185" s="67"/>
      <c r="D185" s="70"/>
      <c r="E185" s="41"/>
      <c r="F185" s="74" t="str">
        <f aca="false">IF(AND(A185&lt;&gt;"",C185="Crédito"),EDATE(A185,PrazoBanco),"")</f>
        <v/>
      </c>
    </row>
    <row r="186" customFormat="false" ht="15" hidden="false" customHeight="false" outlineLevel="0" collapsed="false">
      <c r="A186" s="73"/>
      <c r="B186" s="41"/>
      <c r="C186" s="67"/>
      <c r="D186" s="70"/>
      <c r="E186" s="41"/>
      <c r="F186" s="74" t="str">
        <f aca="false">IF(AND(A186&lt;&gt;"",C186="Crédito"),EDATE(A186,PrazoBanco),"")</f>
        <v/>
      </c>
    </row>
    <row r="187" customFormat="false" ht="15" hidden="false" customHeight="false" outlineLevel="0" collapsed="false">
      <c r="A187" s="73"/>
      <c r="B187" s="41"/>
      <c r="C187" s="67"/>
      <c r="D187" s="70"/>
      <c r="E187" s="41"/>
      <c r="F187" s="74" t="str">
        <f aca="false">IF(AND(A187&lt;&gt;"",C187="Crédito"),EDATE(A187,PrazoBanco),"")</f>
        <v/>
      </c>
    </row>
    <row r="188" customFormat="false" ht="15" hidden="false" customHeight="false" outlineLevel="0" collapsed="false">
      <c r="A188" s="73"/>
      <c r="B188" s="41"/>
      <c r="C188" s="67"/>
      <c r="D188" s="70"/>
      <c r="E188" s="41"/>
      <c r="F188" s="74" t="str">
        <f aca="false">IF(AND(A188&lt;&gt;"",C188="Crédito"),EDATE(A188,PrazoBanco),"")</f>
        <v/>
      </c>
    </row>
    <row r="189" customFormat="false" ht="15" hidden="false" customHeight="false" outlineLevel="0" collapsed="false">
      <c r="A189" s="73"/>
      <c r="B189" s="41"/>
      <c r="C189" s="67"/>
      <c r="D189" s="70"/>
      <c r="E189" s="41"/>
      <c r="F189" s="74" t="str">
        <f aca="false">IF(AND(A189&lt;&gt;"",C189="Crédito"),EDATE(A189,PrazoBanco),"")</f>
        <v/>
      </c>
    </row>
    <row r="190" customFormat="false" ht="15" hidden="false" customHeight="false" outlineLevel="0" collapsed="false">
      <c r="A190" s="73"/>
      <c r="B190" s="41"/>
      <c r="C190" s="67"/>
      <c r="D190" s="70"/>
      <c r="E190" s="41"/>
      <c r="F190" s="74" t="str">
        <f aca="false">IF(AND(A190&lt;&gt;"",C190="Crédito"),EDATE(A190,PrazoBanco),"")</f>
        <v/>
      </c>
    </row>
    <row r="191" customFormat="false" ht="15" hidden="false" customHeight="false" outlineLevel="0" collapsed="false">
      <c r="A191" s="73"/>
      <c r="B191" s="41"/>
      <c r="C191" s="67"/>
      <c r="D191" s="70"/>
      <c r="E191" s="41"/>
      <c r="F191" s="74" t="str">
        <f aca="false">IF(AND(A191&lt;&gt;"",C191="Crédito"),EDATE(A191,PrazoBanco),"")</f>
        <v/>
      </c>
    </row>
    <row r="192" customFormat="false" ht="15" hidden="false" customHeight="false" outlineLevel="0" collapsed="false">
      <c r="A192" s="73"/>
      <c r="B192" s="41"/>
      <c r="C192" s="67"/>
      <c r="D192" s="70"/>
      <c r="E192" s="41"/>
      <c r="F192" s="74" t="str">
        <f aca="false">IF(AND(A192&lt;&gt;"",C192="Crédito"),EDATE(A192,PrazoBanco),"")</f>
        <v/>
      </c>
    </row>
    <row r="193" customFormat="false" ht="15" hidden="false" customHeight="false" outlineLevel="0" collapsed="false">
      <c r="A193" s="73"/>
      <c r="B193" s="41"/>
      <c r="C193" s="67"/>
      <c r="D193" s="70"/>
      <c r="E193" s="41"/>
      <c r="F193" s="74" t="str">
        <f aca="false">IF(AND(A193&lt;&gt;"",C193="Crédito"),EDATE(A193,PrazoBanco),"")</f>
        <v/>
      </c>
    </row>
    <row r="194" customFormat="false" ht="15" hidden="false" customHeight="false" outlineLevel="0" collapsed="false">
      <c r="A194" s="73"/>
      <c r="B194" s="41"/>
      <c r="C194" s="67"/>
      <c r="D194" s="70"/>
      <c r="E194" s="41"/>
      <c r="F194" s="74" t="str">
        <f aca="false">IF(AND(A194&lt;&gt;"",C194="Crédito"),EDATE(A194,PrazoBanco),"")</f>
        <v/>
      </c>
    </row>
    <row r="195" customFormat="false" ht="15" hidden="false" customHeight="false" outlineLevel="0" collapsed="false">
      <c r="A195" s="73"/>
      <c r="B195" s="41"/>
      <c r="C195" s="67"/>
      <c r="D195" s="70"/>
      <c r="E195" s="41"/>
      <c r="F195" s="74" t="str">
        <f aca="false">IF(AND(A195&lt;&gt;"",C195="Crédito"),EDATE(A195,PrazoBanco),"")</f>
        <v/>
      </c>
    </row>
    <row r="196" customFormat="false" ht="15" hidden="false" customHeight="false" outlineLevel="0" collapsed="false">
      <c r="A196" s="73"/>
      <c r="B196" s="41"/>
      <c r="C196" s="67"/>
      <c r="D196" s="70"/>
      <c r="E196" s="41"/>
      <c r="F196" s="74" t="str">
        <f aca="false">IF(AND(A196&lt;&gt;"",C196="Crédito"),EDATE(A196,PrazoBanco),"")</f>
        <v/>
      </c>
    </row>
    <row r="197" customFormat="false" ht="15" hidden="false" customHeight="false" outlineLevel="0" collapsed="false">
      <c r="A197" s="73"/>
      <c r="B197" s="41"/>
      <c r="C197" s="67"/>
      <c r="D197" s="70"/>
      <c r="E197" s="41"/>
      <c r="F197" s="74" t="str">
        <f aca="false">IF(AND(A197&lt;&gt;"",C197="Crédito"),EDATE(A197,PrazoBanco),"")</f>
        <v/>
      </c>
    </row>
    <row r="198" customFormat="false" ht="15" hidden="false" customHeight="false" outlineLevel="0" collapsed="false">
      <c r="A198" s="73"/>
      <c r="B198" s="41"/>
      <c r="C198" s="67"/>
      <c r="D198" s="70"/>
      <c r="E198" s="41"/>
      <c r="F198" s="74" t="str">
        <f aca="false">IF(AND(A198&lt;&gt;"",C198="Crédito"),EDATE(A198,PrazoBanco),"")</f>
        <v/>
      </c>
    </row>
    <row r="199" customFormat="false" ht="15" hidden="false" customHeight="false" outlineLevel="0" collapsed="false">
      <c r="A199" s="73"/>
      <c r="B199" s="41"/>
      <c r="C199" s="67"/>
      <c r="D199" s="70"/>
      <c r="E199" s="41"/>
      <c r="F199" s="74" t="str">
        <f aca="false">IF(AND(A199&lt;&gt;"",C199="Crédito"),EDATE(A199,PrazoBanco),"")</f>
        <v/>
      </c>
    </row>
    <row r="200" customFormat="false" ht="15" hidden="false" customHeight="false" outlineLevel="0" collapsed="false">
      <c r="A200" s="73"/>
      <c r="B200" s="41"/>
      <c r="C200" s="67"/>
      <c r="D200" s="70"/>
      <c r="E200" s="41"/>
      <c r="F200" s="74" t="str">
        <f aca="false">IF(AND(A200&lt;&gt;"",C200="Crédito"),EDATE(A200,PrazoBanco),"")</f>
        <v/>
      </c>
    </row>
    <row r="201" customFormat="false" ht="15" hidden="false" customHeight="false" outlineLevel="0" collapsed="false">
      <c r="A201" s="73"/>
      <c r="B201" s="41"/>
      <c r="C201" s="67"/>
      <c r="D201" s="70"/>
      <c r="E201" s="41"/>
      <c r="F201" s="74" t="str">
        <f aca="false">IF(AND(A201&lt;&gt;"",C201="Crédito"),EDATE(A201,PrazoBanco),"")</f>
        <v/>
      </c>
    </row>
    <row r="202" customFormat="false" ht="15" hidden="false" customHeight="false" outlineLevel="0" collapsed="false">
      <c r="A202" s="73"/>
      <c r="B202" s="41"/>
      <c r="C202" s="67"/>
      <c r="D202" s="70"/>
      <c r="E202" s="41"/>
      <c r="F202" s="74" t="str">
        <f aca="false">IF(AND(A202&lt;&gt;"",C202="Crédito"),EDATE(A202,PrazoBanco),"")</f>
        <v/>
      </c>
    </row>
    <row r="203" customFormat="false" ht="15" hidden="false" customHeight="false" outlineLevel="0" collapsed="false">
      <c r="A203" s="73"/>
      <c r="B203" s="41"/>
      <c r="C203" s="67"/>
      <c r="D203" s="70"/>
      <c r="E203" s="41"/>
      <c r="F203" s="74" t="str">
        <f aca="false">IF(AND(A203&lt;&gt;"",C203="Crédito"),EDATE(A203,PrazoBanco),"")</f>
        <v/>
      </c>
    </row>
    <row r="204" customFormat="false" ht="15" hidden="false" customHeight="false" outlineLevel="0" collapsed="false">
      <c r="A204" s="73"/>
      <c r="B204" s="41"/>
      <c r="C204" s="67"/>
      <c r="D204" s="70"/>
      <c r="E204" s="41"/>
      <c r="F204" s="74" t="str">
        <f aca="false">IF(AND(A204&lt;&gt;"",C204="Crédito"),EDATE(A204,PrazoBanco),"")</f>
        <v/>
      </c>
    </row>
    <row r="205" customFormat="false" ht="15" hidden="false" customHeight="false" outlineLevel="0" collapsed="false">
      <c r="A205" s="73"/>
      <c r="B205" s="41"/>
      <c r="C205" s="67"/>
      <c r="D205" s="70"/>
      <c r="E205" s="41"/>
      <c r="F205" s="74" t="str">
        <f aca="false">IF(AND(A205&lt;&gt;"",C205="Crédito"),EDATE(A205,PrazoBanco),"")</f>
        <v/>
      </c>
    </row>
    <row r="206" customFormat="false" ht="15" hidden="false" customHeight="false" outlineLevel="0" collapsed="false">
      <c r="A206" s="73"/>
      <c r="B206" s="41"/>
      <c r="C206" s="67"/>
      <c r="D206" s="70"/>
      <c r="E206" s="41"/>
      <c r="F206" s="74" t="str">
        <f aca="false">IF(AND(A206&lt;&gt;"",C206="Crédito"),EDATE(A206,PrazoBanco),"")</f>
        <v/>
      </c>
    </row>
    <row r="207" customFormat="false" ht="15" hidden="false" customHeight="false" outlineLevel="0" collapsed="false">
      <c r="A207" s="73"/>
      <c r="B207" s="41"/>
      <c r="C207" s="67"/>
      <c r="D207" s="70"/>
      <c r="E207" s="41"/>
      <c r="F207" s="74" t="str">
        <f aca="false">IF(AND(A207&lt;&gt;"",C207="Crédito"),EDATE(A207,PrazoBanco),"")</f>
        <v/>
      </c>
    </row>
    <row r="208" customFormat="false" ht="15" hidden="false" customHeight="false" outlineLevel="0" collapsed="false">
      <c r="A208" s="73"/>
      <c r="B208" s="41"/>
      <c r="C208" s="67"/>
      <c r="D208" s="70"/>
      <c r="E208" s="41"/>
      <c r="F208" s="74" t="str">
        <f aca="false">IF(AND(A208&lt;&gt;"",C208="Crédito"),EDATE(A208,PrazoBanco),"")</f>
        <v/>
      </c>
    </row>
    <row r="209" customFormat="false" ht="15" hidden="false" customHeight="false" outlineLevel="0" collapsed="false">
      <c r="A209" s="73"/>
      <c r="B209" s="41"/>
      <c r="C209" s="67"/>
      <c r="D209" s="70"/>
      <c r="E209" s="41"/>
      <c r="F209" s="74" t="str">
        <f aca="false">IF(AND(A209&lt;&gt;"",C209="Crédito"),EDATE(A209,PrazoBanco),"")</f>
        <v/>
      </c>
    </row>
    <row r="210" customFormat="false" ht="15" hidden="false" customHeight="false" outlineLevel="0" collapsed="false">
      <c r="A210" s="73"/>
      <c r="B210" s="41"/>
      <c r="C210" s="67"/>
      <c r="D210" s="70"/>
      <c r="E210" s="41"/>
      <c r="F210" s="74" t="str">
        <f aca="false">IF(AND(A210&lt;&gt;"",C210="Crédito"),EDATE(A210,PrazoBanco),"")</f>
        <v/>
      </c>
    </row>
    <row r="211" customFormat="false" ht="15" hidden="false" customHeight="false" outlineLevel="0" collapsed="false">
      <c r="A211" s="73"/>
      <c r="B211" s="41"/>
      <c r="C211" s="67"/>
      <c r="D211" s="70"/>
      <c r="E211" s="41"/>
      <c r="F211" s="74" t="str">
        <f aca="false">IF(AND(A211&lt;&gt;"",C211="Crédito"),EDATE(A211,PrazoBanco),"")</f>
        <v/>
      </c>
    </row>
    <row r="212" customFormat="false" ht="15" hidden="false" customHeight="false" outlineLevel="0" collapsed="false">
      <c r="A212" s="73"/>
      <c r="B212" s="41"/>
      <c r="C212" s="67"/>
      <c r="D212" s="70"/>
      <c r="E212" s="41"/>
      <c r="F212" s="74" t="str">
        <f aca="false">IF(AND(A212&lt;&gt;"",C212="Crédito"),EDATE(A212,PrazoBanco),"")</f>
        <v/>
      </c>
    </row>
    <row r="213" customFormat="false" ht="15" hidden="false" customHeight="false" outlineLevel="0" collapsed="false">
      <c r="A213" s="73"/>
      <c r="B213" s="41"/>
      <c r="C213" s="67"/>
      <c r="D213" s="70"/>
      <c r="E213" s="41"/>
      <c r="F213" s="74" t="str">
        <f aca="false">IF(AND(A213&lt;&gt;"",C213="Crédito"),EDATE(A213,PrazoBanco),"")</f>
        <v/>
      </c>
    </row>
    <row r="214" customFormat="false" ht="15" hidden="false" customHeight="false" outlineLevel="0" collapsed="false">
      <c r="A214" s="73"/>
      <c r="B214" s="41"/>
      <c r="C214" s="67"/>
      <c r="D214" s="70"/>
      <c r="E214" s="41"/>
      <c r="F214" s="74" t="str">
        <f aca="false">IF(AND(A214&lt;&gt;"",C214="Crédito"),EDATE(A214,PrazoBanco),"")</f>
        <v/>
      </c>
    </row>
    <row r="215" customFormat="false" ht="15" hidden="false" customHeight="false" outlineLevel="0" collapsed="false">
      <c r="A215" s="73"/>
      <c r="B215" s="41"/>
      <c r="C215" s="67"/>
      <c r="D215" s="70"/>
      <c r="E215" s="41"/>
      <c r="F215" s="74" t="str">
        <f aca="false">IF(AND(A215&lt;&gt;"",C215="Crédito"),EDATE(A215,PrazoBanco),"")</f>
        <v/>
      </c>
    </row>
    <row r="216" customFormat="false" ht="15" hidden="false" customHeight="false" outlineLevel="0" collapsed="false">
      <c r="A216" s="73"/>
      <c r="B216" s="41"/>
      <c r="C216" s="67"/>
      <c r="D216" s="70"/>
      <c r="E216" s="41"/>
      <c r="F216" s="74" t="str">
        <f aca="false">IF(AND(A216&lt;&gt;"",C216="Crédito"),EDATE(A216,PrazoBanco),"")</f>
        <v/>
      </c>
    </row>
    <row r="217" customFormat="false" ht="15" hidden="false" customHeight="false" outlineLevel="0" collapsed="false">
      <c r="A217" s="73"/>
      <c r="B217" s="41"/>
      <c r="C217" s="67"/>
      <c r="D217" s="70"/>
      <c r="E217" s="41"/>
      <c r="F217" s="74" t="str">
        <f aca="false">IF(AND(A217&lt;&gt;"",C217="Crédito"),EDATE(A217,PrazoBanco),"")</f>
        <v/>
      </c>
    </row>
    <row r="218" customFormat="false" ht="15" hidden="false" customHeight="false" outlineLevel="0" collapsed="false">
      <c r="A218" s="73"/>
      <c r="B218" s="41"/>
      <c r="C218" s="67"/>
      <c r="D218" s="70"/>
      <c r="E218" s="41"/>
      <c r="F218" s="74" t="str">
        <f aca="false">IF(AND(A218&lt;&gt;"",C218="Crédito"),EDATE(A218,PrazoBanco),"")</f>
        <v/>
      </c>
    </row>
    <row r="219" customFormat="false" ht="15" hidden="false" customHeight="false" outlineLevel="0" collapsed="false">
      <c r="A219" s="73"/>
      <c r="B219" s="41"/>
      <c r="C219" s="67"/>
      <c r="D219" s="70"/>
      <c r="E219" s="41"/>
      <c r="F219" s="74" t="str">
        <f aca="false">IF(AND(A219&lt;&gt;"",C219="Crédito"),EDATE(A219,PrazoBanco),"")</f>
        <v/>
      </c>
    </row>
    <row r="220" customFormat="false" ht="15" hidden="false" customHeight="false" outlineLevel="0" collapsed="false">
      <c r="A220" s="73"/>
      <c r="B220" s="41"/>
      <c r="C220" s="67"/>
      <c r="D220" s="70"/>
      <c r="E220" s="41"/>
      <c r="F220" s="74" t="str">
        <f aca="false">IF(AND(A220&lt;&gt;"",C220="Crédito"),EDATE(A220,PrazoBanco),"")</f>
        <v/>
      </c>
    </row>
    <row r="221" customFormat="false" ht="15" hidden="false" customHeight="false" outlineLevel="0" collapsed="false">
      <c r="A221" s="73"/>
      <c r="B221" s="41"/>
      <c r="C221" s="67"/>
      <c r="D221" s="70"/>
      <c r="E221" s="41"/>
      <c r="F221" s="74" t="str">
        <f aca="false">IF(AND(A221&lt;&gt;"",C221="Crédito"),EDATE(A221,PrazoBanco),"")</f>
        <v/>
      </c>
    </row>
    <row r="222" customFormat="false" ht="15" hidden="false" customHeight="false" outlineLevel="0" collapsed="false">
      <c r="A222" s="73"/>
      <c r="B222" s="41"/>
      <c r="C222" s="67"/>
      <c r="D222" s="70"/>
      <c r="E222" s="41"/>
      <c r="F222" s="74" t="str">
        <f aca="false">IF(AND(A222&lt;&gt;"",C222="Crédito"),EDATE(A222,PrazoBanco),"")</f>
        <v/>
      </c>
    </row>
    <row r="223" customFormat="false" ht="15" hidden="false" customHeight="false" outlineLevel="0" collapsed="false">
      <c r="A223" s="73"/>
      <c r="B223" s="41"/>
      <c r="C223" s="67"/>
      <c r="D223" s="70"/>
      <c r="E223" s="41"/>
      <c r="F223" s="74" t="str">
        <f aca="false">IF(AND(A223&lt;&gt;"",C223="Crédito"),EDATE(A223,PrazoBanco),"")</f>
        <v/>
      </c>
    </row>
    <row r="224" customFormat="false" ht="15" hidden="false" customHeight="false" outlineLevel="0" collapsed="false">
      <c r="A224" s="73"/>
      <c r="B224" s="41"/>
      <c r="C224" s="67"/>
      <c r="D224" s="70"/>
      <c r="E224" s="41"/>
      <c r="F224" s="74" t="str">
        <f aca="false">IF(AND(A224&lt;&gt;"",C224="Crédito"),EDATE(A224,PrazoBanco),"")</f>
        <v/>
      </c>
    </row>
    <row r="225" customFormat="false" ht="15" hidden="false" customHeight="false" outlineLevel="0" collapsed="false">
      <c r="A225" s="73"/>
      <c r="B225" s="41"/>
      <c r="C225" s="67"/>
      <c r="D225" s="70"/>
      <c r="E225" s="41"/>
      <c r="F225" s="74" t="str">
        <f aca="false">IF(AND(A225&lt;&gt;"",C225="Crédito"),EDATE(A225,PrazoBanco),"")</f>
        <v/>
      </c>
    </row>
    <row r="226" customFormat="false" ht="15" hidden="false" customHeight="false" outlineLevel="0" collapsed="false">
      <c r="A226" s="73"/>
      <c r="B226" s="41"/>
      <c r="C226" s="67"/>
      <c r="D226" s="70"/>
      <c r="E226" s="41"/>
      <c r="F226" s="74" t="str">
        <f aca="false">IF(AND(A226&lt;&gt;"",C226="Crédito"),EDATE(A226,PrazoBanco),"")</f>
        <v/>
      </c>
    </row>
    <row r="227" customFormat="false" ht="15" hidden="false" customHeight="false" outlineLevel="0" collapsed="false">
      <c r="A227" s="73"/>
      <c r="B227" s="41"/>
      <c r="C227" s="67"/>
      <c r="D227" s="70"/>
      <c r="E227" s="41"/>
      <c r="F227" s="74" t="str">
        <f aca="false">IF(AND(A227&lt;&gt;"",C227="Crédito"),EDATE(A227,PrazoBanco),"")</f>
        <v/>
      </c>
    </row>
    <row r="228" customFormat="false" ht="15" hidden="false" customHeight="false" outlineLevel="0" collapsed="false">
      <c r="A228" s="73"/>
      <c r="B228" s="41"/>
      <c r="C228" s="67"/>
      <c r="D228" s="70"/>
      <c r="E228" s="41"/>
      <c r="F228" s="74" t="str">
        <f aca="false">IF(AND(A228&lt;&gt;"",C228="Crédito"),EDATE(A228,PrazoBanco),"")</f>
        <v/>
      </c>
    </row>
    <row r="229" customFormat="false" ht="15" hidden="false" customHeight="false" outlineLevel="0" collapsed="false">
      <c r="A229" s="73"/>
      <c r="B229" s="41"/>
      <c r="C229" s="67"/>
      <c r="D229" s="70"/>
      <c r="E229" s="41"/>
      <c r="F229" s="74" t="str">
        <f aca="false">IF(AND(A229&lt;&gt;"",C229="Crédito"),EDATE(A229,PrazoBanco),"")</f>
        <v/>
      </c>
    </row>
    <row r="230" customFormat="false" ht="15" hidden="false" customHeight="false" outlineLevel="0" collapsed="false">
      <c r="A230" s="73"/>
      <c r="B230" s="41"/>
      <c r="C230" s="67"/>
      <c r="D230" s="70"/>
      <c r="E230" s="41"/>
      <c r="F230" s="74" t="str">
        <f aca="false">IF(AND(A230&lt;&gt;"",C230="Crédito"),EDATE(A230,PrazoBanco),"")</f>
        <v/>
      </c>
    </row>
    <row r="231" customFormat="false" ht="15" hidden="false" customHeight="false" outlineLevel="0" collapsed="false">
      <c r="A231" s="73"/>
      <c r="B231" s="41"/>
      <c r="C231" s="67"/>
      <c r="D231" s="70"/>
      <c r="E231" s="41"/>
      <c r="F231" s="74" t="str">
        <f aca="false">IF(AND(A231&lt;&gt;"",C231="Crédito"),EDATE(A231,PrazoBanco),"")</f>
        <v/>
      </c>
    </row>
    <row r="232" customFormat="false" ht="15" hidden="false" customHeight="false" outlineLevel="0" collapsed="false">
      <c r="A232" s="73"/>
      <c r="B232" s="41"/>
      <c r="C232" s="67"/>
      <c r="D232" s="70"/>
      <c r="E232" s="41"/>
      <c r="F232" s="74" t="str">
        <f aca="false">IF(AND(A232&lt;&gt;"",C232="Crédito"),EDATE(A232,PrazoBanco),"")</f>
        <v/>
      </c>
    </row>
    <row r="233" customFormat="false" ht="15" hidden="false" customHeight="false" outlineLevel="0" collapsed="false">
      <c r="A233" s="73"/>
      <c r="B233" s="41"/>
      <c r="C233" s="67"/>
      <c r="D233" s="70"/>
      <c r="E233" s="41"/>
      <c r="F233" s="74" t="str">
        <f aca="false">IF(AND(A233&lt;&gt;"",C233="Crédito"),EDATE(A233,PrazoBanco),"")</f>
        <v/>
      </c>
    </row>
    <row r="234" customFormat="false" ht="15" hidden="false" customHeight="false" outlineLevel="0" collapsed="false">
      <c r="A234" s="73"/>
      <c r="B234" s="41"/>
      <c r="C234" s="67"/>
      <c r="D234" s="70"/>
      <c r="E234" s="41"/>
      <c r="F234" s="74" t="str">
        <f aca="false">IF(AND(A234&lt;&gt;"",C234="Crédito"),EDATE(A234,PrazoBanco),"")</f>
        <v/>
      </c>
    </row>
    <row r="235" customFormat="false" ht="15" hidden="false" customHeight="false" outlineLevel="0" collapsed="false">
      <c r="A235" s="73"/>
      <c r="B235" s="41"/>
      <c r="C235" s="67"/>
      <c r="D235" s="70"/>
      <c r="E235" s="41"/>
      <c r="F235" s="74" t="str">
        <f aca="false">IF(AND(A235&lt;&gt;"",C235="Crédito"),EDATE(A235,PrazoBanco),"")</f>
        <v/>
      </c>
    </row>
    <row r="236" customFormat="false" ht="15" hidden="false" customHeight="false" outlineLevel="0" collapsed="false">
      <c r="A236" s="73"/>
      <c r="B236" s="41"/>
      <c r="C236" s="67"/>
      <c r="D236" s="70"/>
      <c r="E236" s="41"/>
      <c r="F236" s="74" t="str">
        <f aca="false">IF(AND(A236&lt;&gt;"",C236="Crédito"),EDATE(A236,PrazoBanco),"")</f>
        <v/>
      </c>
    </row>
    <row r="237" customFormat="false" ht="15" hidden="false" customHeight="false" outlineLevel="0" collapsed="false">
      <c r="A237" s="73"/>
      <c r="B237" s="41"/>
      <c r="C237" s="67"/>
      <c r="D237" s="70"/>
      <c r="E237" s="41"/>
      <c r="F237" s="74" t="str">
        <f aca="false">IF(AND(A237&lt;&gt;"",C237="Crédito"),EDATE(A237,PrazoBanco),"")</f>
        <v/>
      </c>
    </row>
    <row r="238" customFormat="false" ht="15" hidden="false" customHeight="false" outlineLevel="0" collapsed="false">
      <c r="A238" s="73"/>
      <c r="B238" s="41"/>
      <c r="C238" s="67"/>
      <c r="D238" s="70"/>
      <c r="E238" s="41"/>
      <c r="F238" s="74" t="str">
        <f aca="false">IF(AND(A238&lt;&gt;"",C238="Crédito"),EDATE(A238,PrazoBanco),"")</f>
        <v/>
      </c>
    </row>
    <row r="239" customFormat="false" ht="15" hidden="false" customHeight="false" outlineLevel="0" collapsed="false">
      <c r="A239" s="73"/>
      <c r="B239" s="41"/>
      <c r="C239" s="67"/>
      <c r="D239" s="70"/>
      <c r="E239" s="41"/>
      <c r="F239" s="74" t="str">
        <f aca="false">IF(AND(A239&lt;&gt;"",C239="Crédito"),EDATE(A239,PrazoBanco),"")</f>
        <v/>
      </c>
    </row>
    <row r="240" customFormat="false" ht="15" hidden="false" customHeight="false" outlineLevel="0" collapsed="false">
      <c r="A240" s="73"/>
      <c r="B240" s="41"/>
      <c r="C240" s="67"/>
      <c r="D240" s="70"/>
      <c r="E240" s="41"/>
      <c r="F240" s="74" t="str">
        <f aca="false">IF(AND(A240&lt;&gt;"",C240="Crédito"),EDATE(A240,PrazoBanco),"")</f>
        <v/>
      </c>
    </row>
    <row r="241" customFormat="false" ht="15" hidden="false" customHeight="false" outlineLevel="0" collapsed="false">
      <c r="A241" s="73"/>
      <c r="B241" s="41"/>
      <c r="C241" s="67"/>
      <c r="D241" s="70"/>
      <c r="E241" s="41"/>
      <c r="F241" s="74" t="str">
        <f aca="false">IF(AND(A241&lt;&gt;"",C241="Crédito"),EDATE(A241,PrazoBanco),"")</f>
        <v/>
      </c>
    </row>
    <row r="242" customFormat="false" ht="15" hidden="false" customHeight="false" outlineLevel="0" collapsed="false">
      <c r="A242" s="73"/>
      <c r="B242" s="41"/>
      <c r="C242" s="67"/>
      <c r="D242" s="70"/>
      <c r="E242" s="41"/>
      <c r="F242" s="74" t="str">
        <f aca="false">IF(AND(A242&lt;&gt;"",C242="Crédito"),EDATE(A242,PrazoBanco),"")</f>
        <v/>
      </c>
    </row>
    <row r="243" customFormat="false" ht="15" hidden="false" customHeight="false" outlineLevel="0" collapsed="false">
      <c r="A243" s="73"/>
      <c r="B243" s="41"/>
      <c r="C243" s="67"/>
      <c r="D243" s="70"/>
      <c r="E243" s="41"/>
      <c r="F243" s="74" t="str">
        <f aca="false">IF(AND(A243&lt;&gt;"",C243="Crédito"),EDATE(A243,PrazoBanco),"")</f>
        <v/>
      </c>
    </row>
    <row r="244" customFormat="false" ht="15" hidden="false" customHeight="false" outlineLevel="0" collapsed="false">
      <c r="A244" s="73"/>
      <c r="B244" s="41"/>
      <c r="C244" s="67"/>
      <c r="D244" s="70"/>
      <c r="E244" s="41"/>
      <c r="F244" s="74" t="str">
        <f aca="false">IF(AND(A244&lt;&gt;"",C244="Crédito"),EDATE(A244,PrazoBanco),"")</f>
        <v/>
      </c>
    </row>
    <row r="245" customFormat="false" ht="15" hidden="false" customHeight="false" outlineLevel="0" collapsed="false">
      <c r="A245" s="73"/>
      <c r="B245" s="41"/>
      <c r="C245" s="67"/>
      <c r="D245" s="70"/>
      <c r="E245" s="41"/>
      <c r="F245" s="74" t="str">
        <f aca="false">IF(AND(A245&lt;&gt;"",C245="Crédito"),EDATE(A245,PrazoBanco),"")</f>
        <v/>
      </c>
    </row>
    <row r="246" customFormat="false" ht="15" hidden="false" customHeight="false" outlineLevel="0" collapsed="false">
      <c r="A246" s="73"/>
      <c r="B246" s="41"/>
      <c r="C246" s="67"/>
      <c r="D246" s="70"/>
      <c r="E246" s="41"/>
      <c r="F246" s="74" t="str">
        <f aca="false">IF(AND(A246&lt;&gt;"",C246="Crédito"),EDATE(A246,PrazoBanco),"")</f>
        <v/>
      </c>
    </row>
    <row r="247" customFormat="false" ht="15" hidden="false" customHeight="false" outlineLevel="0" collapsed="false">
      <c r="A247" s="73"/>
      <c r="B247" s="41"/>
      <c r="C247" s="67"/>
      <c r="D247" s="70"/>
      <c r="E247" s="41"/>
      <c r="F247" s="74" t="str">
        <f aca="false">IF(AND(A247&lt;&gt;"",C247="Crédito"),EDATE(A247,PrazoBanco),"")</f>
        <v/>
      </c>
    </row>
    <row r="248" customFormat="false" ht="15" hidden="false" customHeight="false" outlineLevel="0" collapsed="false">
      <c r="A248" s="73"/>
      <c r="B248" s="41"/>
      <c r="C248" s="67"/>
      <c r="D248" s="70"/>
      <c r="E248" s="41"/>
      <c r="F248" s="74" t="str">
        <f aca="false">IF(AND(A248&lt;&gt;"",C248="Crédito"),EDATE(A248,PrazoBanco),"")</f>
        <v/>
      </c>
    </row>
    <row r="249" customFormat="false" ht="15" hidden="false" customHeight="false" outlineLevel="0" collapsed="false">
      <c r="A249" s="73"/>
      <c r="B249" s="41"/>
      <c r="C249" s="67"/>
      <c r="D249" s="70"/>
      <c r="E249" s="41"/>
      <c r="F249" s="74" t="str">
        <f aca="false">IF(AND(A249&lt;&gt;"",C249="Crédito"),EDATE(A249,PrazoBanco),"")</f>
        <v/>
      </c>
    </row>
    <row r="250" customFormat="false" ht="15" hidden="false" customHeight="false" outlineLevel="0" collapsed="false">
      <c r="A250" s="73"/>
      <c r="B250" s="41"/>
      <c r="C250" s="67"/>
      <c r="D250" s="70"/>
      <c r="E250" s="41"/>
      <c r="F250" s="74" t="str">
        <f aca="false">IF(AND(A250&lt;&gt;"",C250="Crédito"),EDATE(A250,PrazoBanco),"")</f>
        <v/>
      </c>
    </row>
    <row r="251" customFormat="false" ht="15" hidden="false" customHeight="false" outlineLevel="0" collapsed="false">
      <c r="A251" s="73"/>
      <c r="B251" s="41"/>
      <c r="C251" s="67"/>
      <c r="D251" s="70"/>
      <c r="E251" s="41"/>
      <c r="F251" s="74" t="str">
        <f aca="false">IF(AND(A251&lt;&gt;"",C251="Crédito"),EDATE(A251,PrazoBanco),"")</f>
        <v/>
      </c>
    </row>
    <row r="252" customFormat="false" ht="15" hidden="false" customHeight="false" outlineLevel="0" collapsed="false">
      <c r="A252" s="73"/>
      <c r="B252" s="41"/>
      <c r="C252" s="67"/>
      <c r="D252" s="70"/>
      <c r="E252" s="41"/>
      <c r="F252" s="74" t="str">
        <f aca="false">IF(AND(A252&lt;&gt;"",C252="Crédito"),EDATE(A252,PrazoBanco),"")</f>
        <v/>
      </c>
    </row>
    <row r="253" customFormat="false" ht="15" hidden="false" customHeight="false" outlineLevel="0" collapsed="false">
      <c r="A253" s="73"/>
      <c r="B253" s="41"/>
      <c r="C253" s="67"/>
      <c r="D253" s="70"/>
      <c r="E253" s="41"/>
      <c r="F253" s="74" t="str">
        <f aca="false">IF(AND(A253&lt;&gt;"",C253="Crédito"),EDATE(A253,PrazoBanco),"")</f>
        <v/>
      </c>
    </row>
    <row r="254" customFormat="false" ht="15" hidden="false" customHeight="false" outlineLevel="0" collapsed="false">
      <c r="A254" s="73"/>
      <c r="B254" s="41"/>
      <c r="C254" s="67"/>
      <c r="D254" s="70"/>
      <c r="E254" s="41"/>
      <c r="F254" s="74" t="str">
        <f aca="false">IF(AND(A254&lt;&gt;"",C254="Crédito"),EDATE(A254,PrazoBanco),"")</f>
        <v/>
      </c>
    </row>
    <row r="255" customFormat="false" ht="15" hidden="false" customHeight="false" outlineLevel="0" collapsed="false">
      <c r="A255" s="73"/>
      <c r="B255" s="41"/>
      <c r="C255" s="67"/>
      <c r="D255" s="70"/>
      <c r="E255" s="41"/>
      <c r="F255" s="74" t="str">
        <f aca="false">IF(AND(A255&lt;&gt;"",C255="Crédito"),EDATE(A255,PrazoBanco),"")</f>
        <v/>
      </c>
    </row>
    <row r="256" customFormat="false" ht="15" hidden="false" customHeight="false" outlineLevel="0" collapsed="false">
      <c r="A256" s="73"/>
      <c r="B256" s="41"/>
      <c r="C256" s="67"/>
      <c r="D256" s="70"/>
      <c r="E256" s="41"/>
      <c r="F256" s="74" t="str">
        <f aca="false">IF(AND(A256&lt;&gt;"",C256="Crédito"),EDATE(A256,PrazoBanco),"")</f>
        <v/>
      </c>
    </row>
    <row r="257" customFormat="false" ht="15" hidden="false" customHeight="false" outlineLevel="0" collapsed="false">
      <c r="A257" s="73"/>
      <c r="B257" s="41"/>
      <c r="C257" s="67"/>
      <c r="D257" s="70"/>
      <c r="E257" s="41"/>
      <c r="F257" s="74" t="str">
        <f aca="false">IF(AND(A257&lt;&gt;"",C257="Crédito"),EDATE(A257,PrazoBanco),"")</f>
        <v/>
      </c>
    </row>
    <row r="258" customFormat="false" ht="15" hidden="false" customHeight="false" outlineLevel="0" collapsed="false">
      <c r="A258" s="73"/>
      <c r="B258" s="41"/>
      <c r="C258" s="67"/>
      <c r="D258" s="70"/>
      <c r="E258" s="41"/>
      <c r="F258" s="74" t="str">
        <f aca="false">IF(AND(A258&lt;&gt;"",C258="Crédito"),EDATE(A258,PrazoBanco),"")</f>
        <v/>
      </c>
    </row>
    <row r="259" customFormat="false" ht="15" hidden="false" customHeight="false" outlineLevel="0" collapsed="false">
      <c r="A259" s="73"/>
      <c r="B259" s="41"/>
      <c r="C259" s="67"/>
      <c r="D259" s="70"/>
      <c r="E259" s="41"/>
      <c r="F259" s="74" t="str">
        <f aca="false">IF(AND(A259&lt;&gt;"",C259="Crédito"),EDATE(A259,PrazoBanco),"")</f>
        <v/>
      </c>
    </row>
    <row r="260" customFormat="false" ht="15" hidden="false" customHeight="false" outlineLevel="0" collapsed="false">
      <c r="A260" s="73"/>
      <c r="B260" s="41"/>
      <c r="C260" s="67"/>
      <c r="D260" s="70"/>
      <c r="E260" s="41"/>
      <c r="F260" s="74" t="str">
        <f aca="false">IF(AND(A260&lt;&gt;"",C260="Crédito"),EDATE(A260,PrazoBanco),"")</f>
        <v/>
      </c>
    </row>
    <row r="261" customFormat="false" ht="15" hidden="false" customHeight="false" outlineLevel="0" collapsed="false">
      <c r="A261" s="73"/>
      <c r="B261" s="41"/>
      <c r="C261" s="67"/>
      <c r="D261" s="70"/>
      <c r="E261" s="41"/>
      <c r="F261" s="74" t="str">
        <f aca="false">IF(AND(A261&lt;&gt;"",C261="Crédito"),EDATE(A261,PrazoBanco),"")</f>
        <v/>
      </c>
    </row>
    <row r="262" customFormat="false" ht="15" hidden="false" customHeight="false" outlineLevel="0" collapsed="false">
      <c r="A262" s="73"/>
      <c r="B262" s="41"/>
      <c r="C262" s="67"/>
      <c r="D262" s="70"/>
      <c r="E262" s="41"/>
      <c r="F262" s="74" t="str">
        <f aca="false">IF(AND(A262&lt;&gt;"",C262="Crédito"),EDATE(A262,PrazoBanco),"")</f>
        <v/>
      </c>
    </row>
    <row r="263" customFormat="false" ht="15" hidden="false" customHeight="false" outlineLevel="0" collapsed="false">
      <c r="A263" s="73"/>
      <c r="B263" s="41"/>
      <c r="C263" s="67"/>
      <c r="D263" s="70"/>
      <c r="E263" s="41"/>
      <c r="F263" s="74" t="str">
        <f aca="false">IF(AND(A263&lt;&gt;"",C263="Crédito"),EDATE(A263,PrazoBanco),"")</f>
        <v/>
      </c>
    </row>
    <row r="264" customFormat="false" ht="15" hidden="false" customHeight="false" outlineLevel="0" collapsed="false">
      <c r="A264" s="73"/>
      <c r="B264" s="41"/>
      <c r="C264" s="67"/>
      <c r="D264" s="70"/>
      <c r="E264" s="41"/>
      <c r="F264" s="74" t="str">
        <f aca="false">IF(AND(A264&lt;&gt;"",C264="Crédito"),EDATE(A264,PrazoBanco),"")</f>
        <v/>
      </c>
    </row>
    <row r="265" customFormat="false" ht="15" hidden="false" customHeight="false" outlineLevel="0" collapsed="false">
      <c r="A265" s="73"/>
      <c r="B265" s="41"/>
      <c r="C265" s="67"/>
      <c r="D265" s="70"/>
      <c r="E265" s="41"/>
      <c r="F265" s="74" t="str">
        <f aca="false">IF(AND(A265&lt;&gt;"",C265="Crédito"),EDATE(A265,PrazoBanco),"")</f>
        <v/>
      </c>
    </row>
    <row r="266" customFormat="false" ht="15" hidden="false" customHeight="false" outlineLevel="0" collapsed="false">
      <c r="A266" s="73"/>
      <c r="B266" s="41"/>
      <c r="C266" s="67"/>
      <c r="D266" s="70"/>
      <c r="E266" s="41"/>
      <c r="F266" s="74" t="str">
        <f aca="false">IF(AND(A266&lt;&gt;"",C266="Crédito"),EDATE(A266,PrazoBanco),"")</f>
        <v/>
      </c>
    </row>
    <row r="267" customFormat="false" ht="15" hidden="false" customHeight="false" outlineLevel="0" collapsed="false">
      <c r="A267" s="73"/>
      <c r="B267" s="41"/>
      <c r="C267" s="67"/>
      <c r="D267" s="70"/>
      <c r="E267" s="41"/>
      <c r="F267" s="74" t="str">
        <f aca="false">IF(AND(A267&lt;&gt;"",C267="Crédito"),EDATE(A267,PrazoBanco),"")</f>
        <v/>
      </c>
    </row>
    <row r="268" customFormat="false" ht="15" hidden="false" customHeight="false" outlineLevel="0" collapsed="false">
      <c r="A268" s="73"/>
      <c r="B268" s="41"/>
      <c r="C268" s="67"/>
      <c r="D268" s="70"/>
      <c r="E268" s="41"/>
      <c r="F268" s="74" t="str">
        <f aca="false">IF(AND(A268&lt;&gt;"",C268="Crédito"),EDATE(A268,PrazoBanco),"")</f>
        <v/>
      </c>
    </row>
    <row r="269" customFormat="false" ht="15" hidden="false" customHeight="false" outlineLevel="0" collapsed="false">
      <c r="A269" s="73"/>
      <c r="B269" s="41"/>
      <c r="C269" s="67"/>
      <c r="D269" s="70"/>
      <c r="E269" s="41"/>
      <c r="F269" s="74" t="str">
        <f aca="false">IF(AND(A269&lt;&gt;"",C269="Crédito"),EDATE(A269,PrazoBanco),"")</f>
        <v/>
      </c>
    </row>
    <row r="270" customFormat="false" ht="15" hidden="false" customHeight="false" outlineLevel="0" collapsed="false">
      <c r="A270" s="73"/>
      <c r="B270" s="41"/>
      <c r="C270" s="67"/>
      <c r="D270" s="70"/>
      <c r="E270" s="41"/>
      <c r="F270" s="74" t="str">
        <f aca="false">IF(AND(A270&lt;&gt;"",C270="Crédito"),EDATE(A270,PrazoBanco),"")</f>
        <v/>
      </c>
    </row>
    <row r="271" customFormat="false" ht="15" hidden="false" customHeight="false" outlineLevel="0" collapsed="false">
      <c r="A271" s="73"/>
      <c r="B271" s="41"/>
      <c r="C271" s="67"/>
      <c r="D271" s="70"/>
      <c r="E271" s="41"/>
      <c r="F271" s="74" t="str">
        <f aca="false">IF(AND(A271&lt;&gt;"",C271="Crédito"),EDATE(A271,PrazoBanco),"")</f>
        <v/>
      </c>
    </row>
    <row r="272" customFormat="false" ht="15" hidden="false" customHeight="false" outlineLevel="0" collapsed="false">
      <c r="A272" s="73"/>
      <c r="B272" s="41"/>
      <c r="C272" s="67"/>
      <c r="D272" s="70"/>
      <c r="E272" s="41"/>
      <c r="F272" s="74" t="str">
        <f aca="false">IF(AND(A272&lt;&gt;"",C272="Crédito"),EDATE(A272,PrazoBanco),"")</f>
        <v/>
      </c>
    </row>
    <row r="273" customFormat="false" ht="15" hidden="false" customHeight="false" outlineLevel="0" collapsed="false">
      <c r="A273" s="73"/>
      <c r="B273" s="41"/>
      <c r="C273" s="67"/>
      <c r="D273" s="70"/>
      <c r="E273" s="41"/>
      <c r="F273" s="74" t="str">
        <f aca="false">IF(AND(A273&lt;&gt;"",C273="Crédito"),EDATE(A273,PrazoBanco),"")</f>
        <v/>
      </c>
    </row>
    <row r="274" customFormat="false" ht="15" hidden="false" customHeight="false" outlineLevel="0" collapsed="false">
      <c r="A274" s="73"/>
      <c r="B274" s="41"/>
      <c r="C274" s="67"/>
      <c r="D274" s="70"/>
      <c r="E274" s="41"/>
      <c r="F274" s="74" t="str">
        <f aca="false">IF(AND(A274&lt;&gt;"",C274="Crédito"),EDATE(A274,PrazoBanco),"")</f>
        <v/>
      </c>
    </row>
    <row r="275" customFormat="false" ht="15" hidden="false" customHeight="false" outlineLevel="0" collapsed="false">
      <c r="A275" s="73"/>
      <c r="B275" s="41"/>
      <c r="C275" s="67"/>
      <c r="D275" s="70"/>
      <c r="E275" s="41"/>
      <c r="F275" s="74" t="str">
        <f aca="false">IF(AND(A275&lt;&gt;"",C275="Crédito"),EDATE(A275,PrazoBanco),"")</f>
        <v/>
      </c>
    </row>
    <row r="276" customFormat="false" ht="15" hidden="false" customHeight="false" outlineLevel="0" collapsed="false">
      <c r="A276" s="73"/>
      <c r="B276" s="41"/>
      <c r="C276" s="67"/>
      <c r="D276" s="70"/>
      <c r="E276" s="41"/>
      <c r="F276" s="74" t="str">
        <f aca="false">IF(AND(A276&lt;&gt;"",C276="Crédito"),EDATE(A276,PrazoBanco),"")</f>
        <v/>
      </c>
    </row>
    <row r="277" customFormat="false" ht="15" hidden="false" customHeight="false" outlineLevel="0" collapsed="false">
      <c r="A277" s="73"/>
      <c r="B277" s="41"/>
      <c r="C277" s="67"/>
      <c r="D277" s="70"/>
      <c r="E277" s="41"/>
      <c r="F277" s="74" t="str">
        <f aca="false">IF(AND(A277&lt;&gt;"",C277="Crédito"),EDATE(A277,PrazoBanco),"")</f>
        <v/>
      </c>
    </row>
    <row r="278" customFormat="false" ht="15" hidden="false" customHeight="false" outlineLevel="0" collapsed="false">
      <c r="A278" s="73"/>
      <c r="B278" s="41"/>
      <c r="C278" s="67"/>
      <c r="D278" s="70"/>
      <c r="E278" s="41"/>
      <c r="F278" s="74" t="str">
        <f aca="false">IF(AND(A278&lt;&gt;"",C278="Crédito"),EDATE(A278,PrazoBanco),"")</f>
        <v/>
      </c>
    </row>
    <row r="279" customFormat="false" ht="15" hidden="false" customHeight="false" outlineLevel="0" collapsed="false">
      <c r="A279" s="73"/>
      <c r="B279" s="41"/>
      <c r="C279" s="67"/>
      <c r="D279" s="70"/>
      <c r="E279" s="41"/>
      <c r="F279" s="74" t="str">
        <f aca="false">IF(AND(A279&lt;&gt;"",C279="Crédito"),EDATE(A279,PrazoBanco),"")</f>
        <v/>
      </c>
    </row>
    <row r="280" customFormat="false" ht="15" hidden="false" customHeight="false" outlineLevel="0" collapsed="false">
      <c r="A280" s="73"/>
      <c r="B280" s="41"/>
      <c r="C280" s="67"/>
      <c r="D280" s="70"/>
      <c r="E280" s="41"/>
      <c r="F280" s="74" t="str">
        <f aca="false">IF(AND(A280&lt;&gt;"",C280="Crédito"),EDATE(A280,PrazoBanco),"")</f>
        <v/>
      </c>
    </row>
    <row r="281" customFormat="false" ht="15" hidden="false" customHeight="false" outlineLevel="0" collapsed="false">
      <c r="A281" s="73"/>
      <c r="B281" s="41"/>
      <c r="C281" s="67"/>
      <c r="D281" s="70"/>
      <c r="E281" s="41"/>
      <c r="F281" s="74" t="str">
        <f aca="false">IF(AND(A281&lt;&gt;"",C281="Crédito"),EDATE(A281,PrazoBanco),"")</f>
        <v/>
      </c>
    </row>
    <row r="282" customFormat="false" ht="15" hidden="false" customHeight="false" outlineLevel="0" collapsed="false">
      <c r="A282" s="73"/>
      <c r="B282" s="41"/>
      <c r="C282" s="67"/>
      <c r="D282" s="70"/>
      <c r="E282" s="41"/>
      <c r="F282" s="74" t="str">
        <f aca="false">IF(AND(A282&lt;&gt;"",C282="Crédito"),EDATE(A282,PrazoBanco),"")</f>
        <v/>
      </c>
    </row>
    <row r="283" customFormat="false" ht="15" hidden="false" customHeight="false" outlineLevel="0" collapsed="false">
      <c r="A283" s="73"/>
      <c r="B283" s="41"/>
      <c r="C283" s="67"/>
      <c r="D283" s="70"/>
      <c r="E283" s="41"/>
      <c r="F283" s="74" t="str">
        <f aca="false">IF(AND(A283&lt;&gt;"",C283="Crédito"),EDATE(A283,PrazoBanco),"")</f>
        <v/>
      </c>
    </row>
    <row r="284" customFormat="false" ht="15" hidden="false" customHeight="false" outlineLevel="0" collapsed="false">
      <c r="A284" s="73"/>
      <c r="B284" s="41"/>
      <c r="C284" s="67"/>
      <c r="D284" s="70"/>
      <c r="E284" s="41"/>
      <c r="F284" s="74" t="str">
        <f aca="false">IF(AND(A284&lt;&gt;"",C284="Crédito"),EDATE(A284,PrazoBanco),"")</f>
        <v/>
      </c>
    </row>
    <row r="285" customFormat="false" ht="15" hidden="false" customHeight="false" outlineLevel="0" collapsed="false">
      <c r="A285" s="73"/>
      <c r="B285" s="41"/>
      <c r="C285" s="67"/>
      <c r="D285" s="70"/>
      <c r="E285" s="41"/>
      <c r="F285" s="74" t="str">
        <f aca="false">IF(AND(A285&lt;&gt;"",C285="Crédito"),EDATE(A285,PrazoBanco),"")</f>
        <v/>
      </c>
    </row>
    <row r="286" customFormat="false" ht="15" hidden="false" customHeight="false" outlineLevel="0" collapsed="false">
      <c r="A286" s="73"/>
      <c r="B286" s="41"/>
      <c r="C286" s="67"/>
      <c r="D286" s="70"/>
      <c r="E286" s="41"/>
      <c r="F286" s="74" t="str">
        <f aca="false">IF(AND(A286&lt;&gt;"",C286="Crédito"),EDATE(A286,PrazoBanco),"")</f>
        <v/>
      </c>
    </row>
    <row r="287" customFormat="false" ht="15" hidden="false" customHeight="false" outlineLevel="0" collapsed="false">
      <c r="A287" s="73"/>
      <c r="B287" s="41"/>
      <c r="C287" s="67"/>
      <c r="D287" s="70"/>
      <c r="E287" s="41"/>
      <c r="F287" s="74" t="str">
        <f aca="false">IF(AND(A287&lt;&gt;"",C287="Crédito"),EDATE(A287,PrazoBanco),"")</f>
        <v/>
      </c>
    </row>
    <row r="288" customFormat="false" ht="15" hidden="false" customHeight="false" outlineLevel="0" collapsed="false">
      <c r="A288" s="73"/>
      <c r="B288" s="41"/>
      <c r="C288" s="67"/>
      <c r="D288" s="70"/>
      <c r="E288" s="41"/>
      <c r="F288" s="74" t="str">
        <f aca="false">IF(AND(A288&lt;&gt;"",C288="Crédito"),EDATE(A288,PrazoBanco),"")</f>
        <v/>
      </c>
    </row>
    <row r="289" customFormat="false" ht="15" hidden="false" customHeight="false" outlineLevel="0" collapsed="false">
      <c r="A289" s="73"/>
      <c r="B289" s="41"/>
      <c r="C289" s="67"/>
      <c r="D289" s="70"/>
      <c r="E289" s="41"/>
      <c r="F289" s="74" t="str">
        <f aca="false">IF(AND(A289&lt;&gt;"",C289="Crédito"),EDATE(A289,PrazoBanco),"")</f>
        <v/>
      </c>
    </row>
    <row r="290" customFormat="false" ht="15" hidden="false" customHeight="false" outlineLevel="0" collapsed="false">
      <c r="A290" s="73"/>
      <c r="B290" s="41"/>
      <c r="C290" s="67"/>
      <c r="D290" s="70"/>
      <c r="E290" s="41"/>
      <c r="F290" s="74" t="str">
        <f aca="false">IF(AND(A290&lt;&gt;"",C290="Crédito"),EDATE(A290,PrazoBanco),"")</f>
        <v/>
      </c>
    </row>
    <row r="291" customFormat="false" ht="15" hidden="false" customHeight="false" outlineLevel="0" collapsed="false">
      <c r="A291" s="73"/>
      <c r="B291" s="41"/>
      <c r="C291" s="67"/>
      <c r="D291" s="70"/>
      <c r="E291" s="41"/>
      <c r="F291" s="74" t="str">
        <f aca="false">IF(AND(A291&lt;&gt;"",C291="Crédito"),EDATE(A291,PrazoBanco),"")</f>
        <v/>
      </c>
    </row>
    <row r="292" customFormat="false" ht="15" hidden="false" customHeight="false" outlineLevel="0" collapsed="false">
      <c r="A292" s="73"/>
      <c r="B292" s="41"/>
      <c r="C292" s="67"/>
      <c r="D292" s="70"/>
      <c r="E292" s="41"/>
      <c r="F292" s="74" t="str">
        <f aca="false">IF(AND(A292&lt;&gt;"",C292="Crédito"),EDATE(A292,PrazoBanco),"")</f>
        <v/>
      </c>
    </row>
    <row r="293" customFormat="false" ht="15" hidden="false" customHeight="false" outlineLevel="0" collapsed="false">
      <c r="A293" s="73"/>
      <c r="B293" s="41"/>
      <c r="C293" s="67"/>
      <c r="D293" s="70"/>
      <c r="E293" s="41"/>
      <c r="F293" s="74" t="str">
        <f aca="false">IF(AND(A293&lt;&gt;"",C293="Crédito"),EDATE(A293,PrazoBanco),"")</f>
        <v/>
      </c>
    </row>
    <row r="294" customFormat="false" ht="15" hidden="false" customHeight="false" outlineLevel="0" collapsed="false">
      <c r="A294" s="73"/>
      <c r="B294" s="41"/>
      <c r="C294" s="67"/>
      <c r="D294" s="70"/>
      <c r="E294" s="41"/>
      <c r="F294" s="74" t="str">
        <f aca="false">IF(AND(A294&lt;&gt;"",C294="Crédito"),EDATE(A294,PrazoBanco),"")</f>
        <v/>
      </c>
    </row>
    <row r="295" customFormat="false" ht="15" hidden="false" customHeight="false" outlineLevel="0" collapsed="false">
      <c r="A295" s="73"/>
      <c r="B295" s="41"/>
      <c r="C295" s="67"/>
      <c r="D295" s="70"/>
      <c r="E295" s="41"/>
      <c r="F295" s="74" t="str">
        <f aca="false">IF(AND(A295&lt;&gt;"",C295="Crédito"),EDATE(A295,PrazoBanco),"")</f>
        <v/>
      </c>
    </row>
    <row r="296" customFormat="false" ht="15" hidden="false" customHeight="false" outlineLevel="0" collapsed="false">
      <c r="A296" s="73"/>
      <c r="B296" s="41"/>
      <c r="C296" s="67"/>
      <c r="D296" s="70"/>
      <c r="E296" s="41"/>
      <c r="F296" s="74" t="str">
        <f aca="false">IF(AND(A296&lt;&gt;"",C296="Crédito"),EDATE(A296,PrazoBanco),"")</f>
        <v/>
      </c>
    </row>
    <row r="297" customFormat="false" ht="15" hidden="false" customHeight="false" outlineLevel="0" collapsed="false">
      <c r="A297" s="73"/>
      <c r="B297" s="41"/>
      <c r="C297" s="67"/>
      <c r="D297" s="70"/>
      <c r="E297" s="41"/>
      <c r="F297" s="74" t="str">
        <f aca="false">IF(AND(A297&lt;&gt;"",C297="Crédito"),EDATE(A297,PrazoBanco),"")</f>
        <v/>
      </c>
    </row>
    <row r="298" customFormat="false" ht="15" hidden="false" customHeight="false" outlineLevel="0" collapsed="false">
      <c r="A298" s="73"/>
      <c r="B298" s="41"/>
      <c r="C298" s="67"/>
      <c r="D298" s="70"/>
      <c r="E298" s="41"/>
      <c r="F298" s="74" t="str">
        <f aca="false">IF(AND(A298&lt;&gt;"",C298="Crédito"),EDATE(A298,PrazoBanco),"")</f>
        <v/>
      </c>
    </row>
    <row r="299" customFormat="false" ht="15" hidden="false" customHeight="false" outlineLevel="0" collapsed="false">
      <c r="A299" s="73"/>
      <c r="B299" s="41"/>
      <c r="C299" s="67"/>
      <c r="D299" s="70"/>
      <c r="E299" s="41"/>
      <c r="F299" s="74" t="str">
        <f aca="false">IF(AND(A299&lt;&gt;"",C299="Crédito"),EDATE(A299,PrazoBanco),"")</f>
        <v/>
      </c>
    </row>
    <row r="300" customFormat="false" ht="15" hidden="false" customHeight="false" outlineLevel="0" collapsed="false">
      <c r="A300" s="73"/>
      <c r="B300" s="41"/>
      <c r="C300" s="67"/>
      <c r="D300" s="70"/>
      <c r="E300" s="41"/>
      <c r="F300" s="74" t="str">
        <f aca="false">IF(AND(A300&lt;&gt;"",C300="Crédito"),EDATE(A300,PrazoBanco),"")</f>
        <v/>
      </c>
    </row>
    <row r="301" customFormat="false" ht="15" hidden="false" customHeight="false" outlineLevel="0" collapsed="false">
      <c r="A301" s="73"/>
      <c r="B301" s="41"/>
      <c r="C301" s="67"/>
      <c r="D301" s="70"/>
      <c r="E301" s="41"/>
      <c r="F301" s="74" t="str">
        <f aca="false">IF(AND(A301&lt;&gt;"",C301="Crédito"),EDATE(A301,PrazoBanco),"")</f>
        <v/>
      </c>
    </row>
    <row r="302" customFormat="false" ht="15" hidden="false" customHeight="false" outlineLevel="0" collapsed="false">
      <c r="A302" s="73"/>
      <c r="B302" s="41"/>
      <c r="C302" s="67"/>
      <c r="D302" s="70"/>
      <c r="E302" s="41"/>
      <c r="F302" s="74" t="str">
        <f aca="false">IF(AND(A302&lt;&gt;"",C302="Crédito"),EDATE(A302,PrazoBanco),"")</f>
        <v/>
      </c>
    </row>
    <row r="303" customFormat="false" ht="15" hidden="false" customHeight="false" outlineLevel="0" collapsed="false">
      <c r="A303" s="73"/>
      <c r="B303" s="41"/>
      <c r="C303" s="67"/>
      <c r="D303" s="70"/>
      <c r="E303" s="41"/>
      <c r="F303" s="74" t="str">
        <f aca="false">IF(AND(A303&lt;&gt;"",C303="Crédito"),EDATE(A303,PrazoBanco),"")</f>
        <v/>
      </c>
    </row>
    <row r="304" customFormat="false" ht="15" hidden="false" customHeight="false" outlineLevel="0" collapsed="false">
      <c r="A304" s="73"/>
      <c r="B304" s="41"/>
      <c r="C304" s="67"/>
      <c r="D304" s="70"/>
      <c r="E304" s="41"/>
      <c r="F304" s="74" t="str">
        <f aca="false">IF(AND(A304&lt;&gt;"",C304="Crédito"),EDATE(A304,PrazoBanco),"")</f>
        <v/>
      </c>
    </row>
    <row r="305" customFormat="false" ht="15" hidden="false" customHeight="false" outlineLevel="0" collapsed="false">
      <c r="A305" s="73"/>
      <c r="B305" s="41"/>
      <c r="C305" s="67"/>
      <c r="D305" s="70"/>
      <c r="E305" s="41"/>
      <c r="F305" s="74" t="str">
        <f aca="false">IF(AND(A305&lt;&gt;"",C305="Crédito"),EDATE(A305,PrazoBanco),"")</f>
        <v/>
      </c>
    </row>
    <row r="306" customFormat="false" ht="15" hidden="false" customHeight="false" outlineLevel="0" collapsed="false">
      <c r="A306" s="73"/>
      <c r="B306" s="41"/>
      <c r="C306" s="67"/>
      <c r="D306" s="70"/>
      <c r="E306" s="41"/>
      <c r="F306" s="74" t="str">
        <f aca="false">IF(AND(A306&lt;&gt;"",C306="Crédito"),EDATE(A306,PrazoBanco),"")</f>
        <v/>
      </c>
    </row>
    <row r="307" customFormat="false" ht="15" hidden="false" customHeight="false" outlineLevel="0" collapsed="false">
      <c r="A307" s="73"/>
      <c r="B307" s="41"/>
      <c r="C307" s="67"/>
      <c r="D307" s="70"/>
      <c r="E307" s="41"/>
      <c r="F307" s="74" t="str">
        <f aca="false">IF(AND(A307&lt;&gt;"",C307="Crédito"),EDATE(A307,PrazoBanco),"")</f>
        <v/>
      </c>
    </row>
    <row r="308" customFormat="false" ht="15" hidden="false" customHeight="false" outlineLevel="0" collapsed="false">
      <c r="A308" s="73"/>
      <c r="B308" s="41"/>
      <c r="C308" s="67"/>
      <c r="D308" s="70"/>
      <c r="E308" s="41"/>
      <c r="F308" s="74" t="str">
        <f aca="false">IF(AND(A308&lt;&gt;"",C308="Crédito"),EDATE(A308,PrazoBanco),"")</f>
        <v/>
      </c>
    </row>
    <row r="309" customFormat="false" ht="15" hidden="false" customHeight="false" outlineLevel="0" collapsed="false">
      <c r="A309" s="73"/>
      <c r="B309" s="41"/>
      <c r="C309" s="67"/>
      <c r="D309" s="70"/>
      <c r="E309" s="41"/>
      <c r="F309" s="74" t="str">
        <f aca="false">IF(AND(A309&lt;&gt;"",C309="Crédito"),EDATE(A309,PrazoBanco),"")</f>
        <v/>
      </c>
    </row>
    <row r="310" customFormat="false" ht="15" hidden="false" customHeight="false" outlineLevel="0" collapsed="false">
      <c r="A310" s="73"/>
      <c r="B310" s="41"/>
      <c r="C310" s="67"/>
      <c r="D310" s="70"/>
      <c r="E310" s="41"/>
      <c r="F310" s="74" t="str">
        <f aca="false">IF(AND(A310&lt;&gt;"",C310="Crédito"),EDATE(A310,PrazoBanco),"")</f>
        <v/>
      </c>
    </row>
    <row r="311" customFormat="false" ht="15" hidden="false" customHeight="false" outlineLevel="0" collapsed="false">
      <c r="A311" s="73"/>
      <c r="B311" s="41"/>
      <c r="C311" s="67"/>
      <c r="D311" s="70"/>
      <c r="E311" s="41"/>
      <c r="F311" s="74" t="str">
        <f aca="false">IF(AND(A311&lt;&gt;"",C311="Crédito"),EDATE(A311,PrazoBanco),"")</f>
        <v/>
      </c>
    </row>
    <row r="312" customFormat="false" ht="15" hidden="false" customHeight="false" outlineLevel="0" collapsed="false">
      <c r="A312" s="73"/>
      <c r="B312" s="41"/>
      <c r="C312" s="67"/>
      <c r="D312" s="70"/>
      <c r="E312" s="41"/>
      <c r="F312" s="74" t="str">
        <f aca="false">IF(AND(A312&lt;&gt;"",C312="Crédito"),EDATE(A312,PrazoBanco),"")</f>
        <v/>
      </c>
    </row>
    <row r="313" customFormat="false" ht="15" hidden="false" customHeight="false" outlineLevel="0" collapsed="false">
      <c r="A313" s="73"/>
      <c r="B313" s="41"/>
      <c r="C313" s="67"/>
      <c r="D313" s="70"/>
      <c r="E313" s="41"/>
      <c r="F313" s="74" t="str">
        <f aca="false">IF(AND(A313&lt;&gt;"",C313="Crédito"),EDATE(A313,PrazoBanco),"")</f>
        <v/>
      </c>
    </row>
    <row r="314" customFormat="false" ht="15" hidden="false" customHeight="false" outlineLevel="0" collapsed="false">
      <c r="A314" s="73"/>
      <c r="B314" s="41"/>
      <c r="C314" s="67"/>
      <c r="D314" s="70"/>
      <c r="E314" s="41"/>
      <c r="F314" s="74" t="str">
        <f aca="false">IF(AND(A314&lt;&gt;"",C314="Crédito"),EDATE(A314,PrazoBanco),"")</f>
        <v/>
      </c>
    </row>
    <row r="315" customFormat="false" ht="15" hidden="false" customHeight="false" outlineLevel="0" collapsed="false">
      <c r="A315" s="73"/>
      <c r="B315" s="41"/>
      <c r="C315" s="67"/>
      <c r="D315" s="70"/>
      <c r="E315" s="41"/>
      <c r="F315" s="74" t="str">
        <f aca="false">IF(AND(A315&lt;&gt;"",C315="Crédito"),EDATE(A315,PrazoBanco),"")</f>
        <v/>
      </c>
    </row>
    <row r="316" customFormat="false" ht="15" hidden="false" customHeight="false" outlineLevel="0" collapsed="false">
      <c r="A316" s="73"/>
      <c r="B316" s="41"/>
      <c r="C316" s="67"/>
      <c r="D316" s="70"/>
      <c r="E316" s="41"/>
      <c r="F316" s="74" t="str">
        <f aca="false">IF(AND(A316&lt;&gt;"",C316="Crédito"),EDATE(A316,PrazoBanco),"")</f>
        <v/>
      </c>
    </row>
    <row r="317" customFormat="false" ht="15" hidden="false" customHeight="false" outlineLevel="0" collapsed="false">
      <c r="A317" s="73"/>
      <c r="B317" s="41"/>
      <c r="C317" s="67"/>
      <c r="D317" s="70"/>
      <c r="E317" s="41"/>
      <c r="F317" s="74" t="str">
        <f aca="false">IF(AND(A317&lt;&gt;"",C317="Crédito"),EDATE(A317,PrazoBanco),"")</f>
        <v/>
      </c>
    </row>
    <row r="318" customFormat="false" ht="15" hidden="false" customHeight="false" outlineLevel="0" collapsed="false">
      <c r="A318" s="73"/>
      <c r="B318" s="41"/>
      <c r="C318" s="67"/>
      <c r="D318" s="70"/>
      <c r="E318" s="41"/>
      <c r="F318" s="74" t="str">
        <f aca="false">IF(AND(A318&lt;&gt;"",C318="Crédito"),EDATE(A318,PrazoBanco),"")</f>
        <v/>
      </c>
    </row>
    <row r="319" customFormat="false" ht="15" hidden="false" customHeight="false" outlineLevel="0" collapsed="false">
      <c r="A319" s="73"/>
      <c r="B319" s="41"/>
      <c r="C319" s="67"/>
      <c r="D319" s="70"/>
      <c r="E319" s="41"/>
      <c r="F319" s="74" t="str">
        <f aca="false">IF(AND(A319&lt;&gt;"",C319="Crédito"),EDATE(A319,PrazoBanco),"")</f>
        <v/>
      </c>
    </row>
    <row r="320" customFormat="false" ht="15" hidden="false" customHeight="false" outlineLevel="0" collapsed="false">
      <c r="A320" s="73"/>
      <c r="B320" s="41"/>
      <c r="C320" s="67"/>
      <c r="D320" s="70"/>
      <c r="E320" s="41"/>
      <c r="F320" s="74" t="str">
        <f aca="false">IF(AND(A320&lt;&gt;"",C320="Crédito"),EDATE(A320,PrazoBanco),"")</f>
        <v/>
      </c>
    </row>
    <row r="321" customFormat="false" ht="15" hidden="false" customHeight="false" outlineLevel="0" collapsed="false">
      <c r="A321" s="73"/>
      <c r="B321" s="41"/>
      <c r="C321" s="67"/>
      <c r="D321" s="70"/>
      <c r="E321" s="41"/>
      <c r="F321" s="74" t="str">
        <f aca="false">IF(AND(A321&lt;&gt;"",C321="Crédito"),EDATE(A321,PrazoBanco),"")</f>
        <v/>
      </c>
    </row>
    <row r="322" customFormat="false" ht="15" hidden="false" customHeight="false" outlineLevel="0" collapsed="false">
      <c r="A322" s="73"/>
      <c r="B322" s="41"/>
      <c r="C322" s="67"/>
      <c r="D322" s="70"/>
      <c r="E322" s="41"/>
      <c r="F322" s="74" t="str">
        <f aca="false">IF(AND(A322&lt;&gt;"",C322="Crédito"),EDATE(A322,PrazoBanco),"")</f>
        <v/>
      </c>
    </row>
    <row r="323" customFormat="false" ht="15" hidden="false" customHeight="false" outlineLevel="0" collapsed="false">
      <c r="A323" s="73"/>
      <c r="B323" s="41"/>
      <c r="C323" s="67"/>
      <c r="D323" s="70"/>
      <c r="E323" s="41"/>
      <c r="F323" s="74" t="str">
        <f aca="false">IF(AND(A323&lt;&gt;"",C323="Crédito"),EDATE(A323,PrazoBanco),"")</f>
        <v/>
      </c>
    </row>
    <row r="324" customFormat="false" ht="15" hidden="false" customHeight="false" outlineLevel="0" collapsed="false">
      <c r="A324" s="73"/>
      <c r="B324" s="41"/>
      <c r="C324" s="67"/>
      <c r="D324" s="70"/>
      <c r="E324" s="41"/>
      <c r="F324" s="74" t="str">
        <f aca="false">IF(AND(A324&lt;&gt;"",C324="Crédito"),EDATE(A324,PrazoBanco),"")</f>
        <v/>
      </c>
    </row>
    <row r="325" customFormat="false" ht="15" hidden="false" customHeight="false" outlineLevel="0" collapsed="false">
      <c r="A325" s="73"/>
      <c r="B325" s="41"/>
      <c r="C325" s="67"/>
      <c r="D325" s="70"/>
      <c r="E325" s="41"/>
      <c r="F325" s="74" t="str">
        <f aca="false">IF(AND(A325&lt;&gt;"",C325="Crédito"),EDATE(A325,PrazoBanco),"")</f>
        <v/>
      </c>
    </row>
    <row r="326" customFormat="false" ht="15" hidden="false" customHeight="false" outlineLevel="0" collapsed="false">
      <c r="A326" s="73"/>
      <c r="B326" s="41"/>
      <c r="C326" s="67"/>
      <c r="D326" s="70"/>
      <c r="E326" s="41"/>
      <c r="F326" s="74" t="str">
        <f aca="false">IF(AND(A326&lt;&gt;"",C326="Crédito"),EDATE(A326,PrazoBanco),"")</f>
        <v/>
      </c>
    </row>
    <row r="327" customFormat="false" ht="15" hidden="false" customHeight="false" outlineLevel="0" collapsed="false">
      <c r="A327" s="73"/>
      <c r="B327" s="41"/>
      <c r="C327" s="67"/>
      <c r="D327" s="70"/>
      <c r="E327" s="41"/>
      <c r="F327" s="74" t="str">
        <f aca="false">IF(AND(A327&lt;&gt;"",C327="Crédito"),EDATE(A327,PrazoBanco),"")</f>
        <v/>
      </c>
    </row>
    <row r="328" customFormat="false" ht="15" hidden="false" customHeight="false" outlineLevel="0" collapsed="false">
      <c r="A328" s="73"/>
      <c r="B328" s="41"/>
      <c r="C328" s="67"/>
      <c r="D328" s="70"/>
      <c r="E328" s="41"/>
      <c r="F328" s="74" t="str">
        <f aca="false">IF(AND(A328&lt;&gt;"",C328="Crédito"),EDATE(A328,PrazoBanco),"")</f>
        <v/>
      </c>
    </row>
    <row r="329" customFormat="false" ht="15" hidden="false" customHeight="false" outlineLevel="0" collapsed="false">
      <c r="A329" s="73"/>
      <c r="B329" s="41"/>
      <c r="C329" s="67"/>
      <c r="D329" s="70"/>
      <c r="E329" s="41"/>
      <c r="F329" s="74" t="str">
        <f aca="false">IF(AND(A329&lt;&gt;"",C329="Crédito"),EDATE(A329,PrazoBanco),"")</f>
        <v/>
      </c>
    </row>
    <row r="330" customFormat="false" ht="15" hidden="false" customHeight="false" outlineLevel="0" collapsed="false">
      <c r="A330" s="73"/>
      <c r="B330" s="41"/>
      <c r="C330" s="67"/>
      <c r="D330" s="70"/>
      <c r="E330" s="41"/>
      <c r="F330" s="74" t="str">
        <f aca="false">IF(AND(A330&lt;&gt;"",C330="Crédito"),EDATE(A330,PrazoBanco),"")</f>
        <v/>
      </c>
    </row>
    <row r="331" customFormat="false" ht="15" hidden="false" customHeight="false" outlineLevel="0" collapsed="false">
      <c r="A331" s="73"/>
      <c r="B331" s="41"/>
      <c r="C331" s="67"/>
      <c r="D331" s="70"/>
      <c r="E331" s="41"/>
      <c r="F331" s="74" t="str">
        <f aca="false">IF(AND(A331&lt;&gt;"",C331="Crédito"),EDATE(A331,PrazoBanco),"")</f>
        <v/>
      </c>
    </row>
    <row r="332" customFormat="false" ht="15" hidden="false" customHeight="false" outlineLevel="0" collapsed="false">
      <c r="A332" s="73"/>
      <c r="B332" s="41"/>
      <c r="C332" s="67"/>
      <c r="D332" s="70"/>
      <c r="E332" s="41"/>
      <c r="F332" s="74" t="str">
        <f aca="false">IF(AND(A332&lt;&gt;"",C332="Crédito"),EDATE(A332,PrazoBanco),"")</f>
        <v/>
      </c>
    </row>
    <row r="333" customFormat="false" ht="15" hidden="false" customHeight="false" outlineLevel="0" collapsed="false">
      <c r="A333" s="73"/>
      <c r="B333" s="41"/>
      <c r="C333" s="67"/>
      <c r="D333" s="70"/>
      <c r="E333" s="41"/>
      <c r="F333" s="74" t="str">
        <f aca="false">IF(AND(A333&lt;&gt;"",C333="Crédito"),EDATE(A333,PrazoBanco),"")</f>
        <v/>
      </c>
    </row>
    <row r="334" customFormat="false" ht="15" hidden="false" customHeight="false" outlineLevel="0" collapsed="false">
      <c r="A334" s="73"/>
      <c r="B334" s="41"/>
      <c r="C334" s="67"/>
      <c r="D334" s="70"/>
      <c r="E334" s="41"/>
      <c r="F334" s="74" t="str">
        <f aca="false">IF(AND(A334&lt;&gt;"",C334="Crédito"),EDATE(A334,PrazoBanco),"")</f>
        <v/>
      </c>
    </row>
    <row r="335" customFormat="false" ht="15" hidden="false" customHeight="false" outlineLevel="0" collapsed="false">
      <c r="A335" s="73"/>
      <c r="B335" s="41"/>
      <c r="C335" s="67"/>
      <c r="D335" s="70"/>
      <c r="E335" s="41"/>
      <c r="F335" s="74" t="str">
        <f aca="false">IF(AND(A335&lt;&gt;"",C335="Crédito"),EDATE(A335,PrazoBanco),"")</f>
        <v/>
      </c>
    </row>
    <row r="336" customFormat="false" ht="15" hidden="false" customHeight="false" outlineLevel="0" collapsed="false">
      <c r="A336" s="73"/>
      <c r="B336" s="41"/>
      <c r="C336" s="67"/>
      <c r="D336" s="70"/>
      <c r="E336" s="41"/>
      <c r="F336" s="74" t="str">
        <f aca="false">IF(AND(A336&lt;&gt;"",C336="Crédito"),EDATE(A336,PrazoBanco),"")</f>
        <v/>
      </c>
    </row>
    <row r="337" customFormat="false" ht="15" hidden="false" customHeight="false" outlineLevel="0" collapsed="false">
      <c r="A337" s="73"/>
      <c r="B337" s="41"/>
      <c r="C337" s="67"/>
      <c r="D337" s="70"/>
      <c r="E337" s="41"/>
      <c r="F337" s="74" t="str">
        <f aca="false">IF(AND(A337&lt;&gt;"",C337="Crédito"),EDATE(A337,PrazoBanco),"")</f>
        <v/>
      </c>
    </row>
    <row r="338" customFormat="false" ht="15" hidden="false" customHeight="false" outlineLevel="0" collapsed="false">
      <c r="A338" s="73"/>
      <c r="B338" s="41"/>
      <c r="C338" s="67"/>
      <c r="D338" s="70"/>
      <c r="E338" s="41"/>
      <c r="F338" s="74" t="str">
        <f aca="false">IF(AND(A338&lt;&gt;"",C338="Crédito"),EDATE(A338,PrazoBanco),"")</f>
        <v/>
      </c>
    </row>
    <row r="339" customFormat="false" ht="15" hidden="false" customHeight="false" outlineLevel="0" collapsed="false">
      <c r="A339" s="73"/>
      <c r="B339" s="41"/>
      <c r="C339" s="67"/>
      <c r="D339" s="70"/>
      <c r="E339" s="41"/>
      <c r="F339" s="74" t="str">
        <f aca="false">IF(AND(A339&lt;&gt;"",C339="Crédito"),EDATE(A339,PrazoBanco),"")</f>
        <v/>
      </c>
    </row>
    <row r="340" customFormat="false" ht="15" hidden="false" customHeight="false" outlineLevel="0" collapsed="false">
      <c r="A340" s="73"/>
      <c r="B340" s="41"/>
      <c r="C340" s="67"/>
      <c r="D340" s="70"/>
      <c r="E340" s="41"/>
      <c r="F340" s="74" t="str">
        <f aca="false">IF(AND(A340&lt;&gt;"",C340="Crédito"),EDATE(A340,PrazoBanco),"")</f>
        <v/>
      </c>
    </row>
    <row r="341" customFormat="false" ht="15" hidden="false" customHeight="false" outlineLevel="0" collapsed="false">
      <c r="A341" s="73"/>
      <c r="B341" s="41"/>
      <c r="C341" s="67"/>
      <c r="D341" s="70"/>
      <c r="E341" s="41"/>
      <c r="F341" s="74" t="str">
        <f aca="false">IF(AND(A341&lt;&gt;"",C341="Crédito"),EDATE(A341,PrazoBanco),"")</f>
        <v/>
      </c>
    </row>
    <row r="342" customFormat="false" ht="15" hidden="false" customHeight="false" outlineLevel="0" collapsed="false">
      <c r="A342" s="73"/>
      <c r="B342" s="41"/>
      <c r="C342" s="67"/>
      <c r="D342" s="70"/>
      <c r="E342" s="41"/>
      <c r="F342" s="74" t="str">
        <f aca="false">IF(AND(A342&lt;&gt;"",C342="Crédito"),EDATE(A342,PrazoBanco),"")</f>
        <v/>
      </c>
    </row>
    <row r="343" customFormat="false" ht="15" hidden="false" customHeight="false" outlineLevel="0" collapsed="false">
      <c r="A343" s="73"/>
      <c r="B343" s="41"/>
      <c r="C343" s="67"/>
      <c r="D343" s="70"/>
      <c r="E343" s="41"/>
      <c r="F343" s="74" t="str">
        <f aca="false">IF(AND(A343&lt;&gt;"",C343="Crédito"),EDATE(A343,PrazoBanco),"")</f>
        <v/>
      </c>
    </row>
    <row r="344" customFormat="false" ht="15" hidden="false" customHeight="false" outlineLevel="0" collapsed="false">
      <c r="A344" s="73"/>
      <c r="B344" s="41"/>
      <c r="C344" s="67"/>
      <c r="D344" s="70"/>
      <c r="E344" s="41"/>
      <c r="F344" s="74" t="str">
        <f aca="false">IF(AND(A344&lt;&gt;"",C344="Crédito"),EDATE(A344,PrazoBanco),"")</f>
        <v/>
      </c>
    </row>
    <row r="345" customFormat="false" ht="15" hidden="false" customHeight="false" outlineLevel="0" collapsed="false">
      <c r="A345" s="73"/>
      <c r="B345" s="41"/>
      <c r="C345" s="67"/>
      <c r="D345" s="70"/>
      <c r="E345" s="41"/>
      <c r="F345" s="74" t="str">
        <f aca="false">IF(AND(A345&lt;&gt;"",C345="Crédito"),EDATE(A345,PrazoBanco),"")</f>
        <v/>
      </c>
    </row>
    <row r="346" customFormat="false" ht="15" hidden="false" customHeight="false" outlineLevel="0" collapsed="false">
      <c r="A346" s="73"/>
      <c r="B346" s="41"/>
      <c r="C346" s="67"/>
      <c r="D346" s="70"/>
      <c r="E346" s="41"/>
      <c r="F346" s="74" t="str">
        <f aca="false">IF(AND(A346&lt;&gt;"",C346="Crédito"),EDATE(A346,PrazoBanco),"")</f>
        <v/>
      </c>
    </row>
    <row r="347" customFormat="false" ht="15" hidden="false" customHeight="false" outlineLevel="0" collapsed="false">
      <c r="A347" s="73"/>
      <c r="B347" s="41"/>
      <c r="C347" s="67"/>
      <c r="D347" s="70"/>
      <c r="E347" s="41"/>
      <c r="F347" s="74" t="str">
        <f aca="false">IF(AND(A347&lt;&gt;"",C347="Crédito"),EDATE(A347,PrazoBanco),"")</f>
        <v/>
      </c>
    </row>
    <row r="348" customFormat="false" ht="15" hidden="false" customHeight="false" outlineLevel="0" collapsed="false">
      <c r="A348" s="73"/>
      <c r="B348" s="41"/>
      <c r="C348" s="67"/>
      <c r="D348" s="70"/>
      <c r="E348" s="41"/>
      <c r="F348" s="74" t="str">
        <f aca="false">IF(AND(A348&lt;&gt;"",C348="Crédito"),EDATE(A348,PrazoBanco),"")</f>
        <v/>
      </c>
    </row>
    <row r="349" customFormat="false" ht="15" hidden="false" customHeight="false" outlineLevel="0" collapsed="false">
      <c r="A349" s="73"/>
      <c r="B349" s="41"/>
      <c r="C349" s="67"/>
      <c r="D349" s="70"/>
      <c r="E349" s="41"/>
      <c r="F349" s="74" t="str">
        <f aca="false">IF(AND(A349&lt;&gt;"",C349="Crédito"),EDATE(A349,PrazoBanco),"")</f>
        <v/>
      </c>
    </row>
    <row r="350" customFormat="false" ht="15" hidden="false" customHeight="false" outlineLevel="0" collapsed="false">
      <c r="A350" s="73"/>
      <c r="B350" s="41"/>
      <c r="C350" s="67"/>
      <c r="D350" s="70"/>
      <c r="E350" s="41"/>
      <c r="F350" s="74" t="str">
        <f aca="false">IF(AND(A350&lt;&gt;"",C350="Crédito"),EDATE(A350,PrazoBanco),"")</f>
        <v/>
      </c>
    </row>
    <row r="351" customFormat="false" ht="15" hidden="false" customHeight="false" outlineLevel="0" collapsed="false">
      <c r="A351" s="73"/>
      <c r="B351" s="41"/>
      <c r="C351" s="67"/>
      <c r="D351" s="70"/>
      <c r="E351" s="41"/>
      <c r="F351" s="74" t="str">
        <f aca="false">IF(AND(A351&lt;&gt;"",C351="Crédito"),EDATE(A351,PrazoBanco),"")</f>
        <v/>
      </c>
    </row>
    <row r="352" customFormat="false" ht="15" hidden="false" customHeight="false" outlineLevel="0" collapsed="false">
      <c r="A352" s="73"/>
      <c r="B352" s="41"/>
      <c r="C352" s="67"/>
      <c r="D352" s="70"/>
      <c r="E352" s="41"/>
      <c r="F352" s="74" t="str">
        <f aca="false">IF(AND(A352&lt;&gt;"",C352="Crédito"),EDATE(A352,PrazoBanco),"")</f>
        <v/>
      </c>
    </row>
    <row r="353" customFormat="false" ht="15" hidden="false" customHeight="false" outlineLevel="0" collapsed="false">
      <c r="A353" s="73"/>
      <c r="B353" s="41"/>
      <c r="C353" s="67"/>
      <c r="D353" s="70"/>
      <c r="E353" s="41"/>
      <c r="F353" s="74" t="str">
        <f aca="false">IF(AND(A353&lt;&gt;"",C353="Crédito"),EDATE(A353,PrazoBanco),"")</f>
        <v/>
      </c>
    </row>
    <row r="354" customFormat="false" ht="15" hidden="false" customHeight="false" outlineLevel="0" collapsed="false">
      <c r="A354" s="73"/>
      <c r="B354" s="41"/>
      <c r="C354" s="67"/>
      <c r="D354" s="70"/>
      <c r="E354" s="41"/>
      <c r="F354" s="74" t="str">
        <f aca="false">IF(AND(A354&lt;&gt;"",C354="Crédito"),EDATE(A354,PrazoBanco),"")</f>
        <v/>
      </c>
    </row>
    <row r="355" customFormat="false" ht="15" hidden="false" customHeight="false" outlineLevel="0" collapsed="false">
      <c r="A355" s="73"/>
      <c r="B355" s="41"/>
      <c r="C355" s="67"/>
      <c r="D355" s="70"/>
      <c r="E355" s="41"/>
      <c r="F355" s="74" t="str">
        <f aca="false">IF(AND(A355&lt;&gt;"",C355="Crédito"),EDATE(A355,PrazoBanco),"")</f>
        <v/>
      </c>
    </row>
    <row r="356" customFormat="false" ht="15" hidden="false" customHeight="false" outlineLevel="0" collapsed="false">
      <c r="A356" s="73"/>
      <c r="B356" s="41"/>
      <c r="C356" s="67"/>
      <c r="D356" s="70"/>
      <c r="E356" s="41"/>
      <c r="F356" s="74" t="str">
        <f aca="false">IF(AND(A356&lt;&gt;"",C356="Crédito"),EDATE(A356,PrazoBanco),"")</f>
        <v/>
      </c>
    </row>
    <row r="357" customFormat="false" ht="15" hidden="false" customHeight="false" outlineLevel="0" collapsed="false">
      <c r="A357" s="73"/>
      <c r="B357" s="41"/>
      <c r="C357" s="67"/>
      <c r="D357" s="70"/>
      <c r="E357" s="41"/>
      <c r="F357" s="74" t="str">
        <f aca="false">IF(AND(A357&lt;&gt;"",C357="Crédito"),EDATE(A357,PrazoBanco),"")</f>
        <v/>
      </c>
    </row>
    <row r="358" customFormat="false" ht="15" hidden="false" customHeight="false" outlineLevel="0" collapsed="false">
      <c r="A358" s="73"/>
      <c r="B358" s="41"/>
      <c r="C358" s="67"/>
      <c r="D358" s="70"/>
      <c r="E358" s="41"/>
      <c r="F358" s="74" t="str">
        <f aca="false">IF(AND(A358&lt;&gt;"",C358="Crédito"),EDATE(A358,PrazoBanco),"")</f>
        <v/>
      </c>
    </row>
    <row r="359" customFormat="false" ht="15" hidden="false" customHeight="false" outlineLevel="0" collapsed="false">
      <c r="A359" s="73"/>
      <c r="B359" s="41"/>
      <c r="C359" s="67"/>
      <c r="D359" s="70"/>
      <c r="E359" s="41"/>
      <c r="F359" s="74" t="str">
        <f aca="false">IF(AND(A359&lt;&gt;"",C359="Crédito"),EDATE(A359,PrazoBanco),"")</f>
        <v/>
      </c>
    </row>
    <row r="360" customFormat="false" ht="15" hidden="false" customHeight="false" outlineLevel="0" collapsed="false">
      <c r="A360" s="73"/>
      <c r="B360" s="41"/>
      <c r="C360" s="67"/>
      <c r="D360" s="70"/>
      <c r="E360" s="41"/>
      <c r="F360" s="74" t="str">
        <f aca="false">IF(AND(A360&lt;&gt;"",C360="Crédito"),EDATE(A360,PrazoBanco),"")</f>
        <v/>
      </c>
    </row>
    <row r="361" customFormat="false" ht="15" hidden="false" customHeight="false" outlineLevel="0" collapsed="false">
      <c r="A361" s="73"/>
      <c r="B361" s="41"/>
      <c r="C361" s="67"/>
      <c r="D361" s="70"/>
      <c r="E361" s="41"/>
      <c r="F361" s="74" t="str">
        <f aca="false">IF(AND(A361&lt;&gt;"",C361="Crédito"),EDATE(A361,PrazoBanco),"")</f>
        <v/>
      </c>
    </row>
    <row r="362" customFormat="false" ht="15" hidden="false" customHeight="false" outlineLevel="0" collapsed="false">
      <c r="A362" s="73"/>
      <c r="B362" s="41"/>
      <c r="C362" s="67"/>
      <c r="D362" s="70"/>
      <c r="E362" s="41"/>
      <c r="F362" s="74" t="str">
        <f aca="false">IF(AND(A362&lt;&gt;"",C362="Crédito"),EDATE(A362,PrazoBanco),"")</f>
        <v/>
      </c>
    </row>
    <row r="363" customFormat="false" ht="15" hidden="false" customHeight="false" outlineLevel="0" collapsed="false">
      <c r="A363" s="73"/>
      <c r="B363" s="41"/>
      <c r="C363" s="67"/>
      <c r="D363" s="70"/>
      <c r="E363" s="41"/>
      <c r="F363" s="74" t="str">
        <f aca="false">IF(AND(A363&lt;&gt;"",C363="Crédito"),EDATE(A363,PrazoBanco),"")</f>
        <v/>
      </c>
    </row>
    <row r="364" customFormat="false" ht="15" hidden="false" customHeight="false" outlineLevel="0" collapsed="false">
      <c r="A364" s="73"/>
      <c r="B364" s="41"/>
      <c r="C364" s="67"/>
      <c r="D364" s="70"/>
      <c r="E364" s="41"/>
      <c r="F364" s="74" t="str">
        <f aca="false">IF(AND(A364&lt;&gt;"",C364="Crédito"),EDATE(A364,PrazoBanco),"")</f>
        <v/>
      </c>
    </row>
    <row r="365" customFormat="false" ht="15" hidden="false" customHeight="false" outlineLevel="0" collapsed="false">
      <c r="A365" s="73"/>
      <c r="B365" s="41"/>
      <c r="C365" s="67"/>
      <c r="D365" s="70"/>
      <c r="E365" s="41"/>
      <c r="F365" s="74" t="str">
        <f aca="false">IF(AND(A365&lt;&gt;"",C365="Crédito"),EDATE(A365,PrazoBanco),"")</f>
        <v/>
      </c>
    </row>
    <row r="366" customFormat="false" ht="15" hidden="false" customHeight="false" outlineLevel="0" collapsed="false">
      <c r="A366" s="73"/>
      <c r="B366" s="41"/>
      <c r="C366" s="67"/>
      <c r="D366" s="70"/>
      <c r="E366" s="41"/>
      <c r="F366" s="74" t="str">
        <f aca="false">IF(AND(A366&lt;&gt;"",C366="Crédito"),EDATE(A366,PrazoBanco),"")</f>
        <v/>
      </c>
    </row>
    <row r="367" customFormat="false" ht="15" hidden="false" customHeight="false" outlineLevel="0" collapsed="false">
      <c r="A367" s="73"/>
      <c r="B367" s="41"/>
      <c r="C367" s="67"/>
      <c r="D367" s="70"/>
      <c r="E367" s="41"/>
      <c r="F367" s="74" t="str">
        <f aca="false">IF(AND(A367&lt;&gt;"",C367="Crédito"),EDATE(A367,PrazoBanco),"")</f>
        <v/>
      </c>
    </row>
    <row r="368" customFormat="false" ht="15" hidden="false" customHeight="false" outlineLevel="0" collapsed="false">
      <c r="A368" s="73"/>
      <c r="B368" s="41"/>
      <c r="C368" s="67"/>
      <c r="D368" s="70"/>
      <c r="E368" s="41"/>
      <c r="F368" s="74" t="str">
        <f aca="false">IF(AND(A368&lt;&gt;"",C368="Crédito"),EDATE(A368,PrazoBanco),"")</f>
        <v/>
      </c>
    </row>
    <row r="369" customFormat="false" ht="15" hidden="false" customHeight="false" outlineLevel="0" collapsed="false">
      <c r="A369" s="73"/>
      <c r="B369" s="41"/>
      <c r="C369" s="67"/>
      <c r="D369" s="70"/>
      <c r="E369" s="41"/>
      <c r="F369" s="74" t="str">
        <f aca="false">IF(AND(A369&lt;&gt;"",C369="Crédito"),EDATE(A369,PrazoBanco),"")</f>
        <v/>
      </c>
    </row>
    <row r="370" customFormat="false" ht="15" hidden="false" customHeight="false" outlineLevel="0" collapsed="false">
      <c r="A370" s="73"/>
      <c r="B370" s="41"/>
      <c r="C370" s="67"/>
      <c r="D370" s="70"/>
      <c r="E370" s="41"/>
      <c r="F370" s="74" t="str">
        <f aca="false">IF(AND(A370&lt;&gt;"",C370="Crédito"),EDATE(A370,PrazoBanco),"")</f>
        <v/>
      </c>
    </row>
    <row r="371" customFormat="false" ht="15" hidden="false" customHeight="false" outlineLevel="0" collapsed="false">
      <c r="A371" s="73"/>
      <c r="B371" s="41"/>
      <c r="C371" s="67"/>
      <c r="D371" s="70"/>
      <c r="E371" s="41"/>
      <c r="F371" s="74" t="str">
        <f aca="false">IF(AND(A371&lt;&gt;"",C371="Crédito"),EDATE(A371,PrazoBanco),"")</f>
        <v/>
      </c>
    </row>
    <row r="372" customFormat="false" ht="15" hidden="false" customHeight="false" outlineLevel="0" collapsed="false">
      <c r="A372" s="73"/>
      <c r="B372" s="41"/>
      <c r="C372" s="67"/>
      <c r="D372" s="70"/>
      <c r="E372" s="41"/>
      <c r="F372" s="74" t="str">
        <f aca="false">IF(AND(A372&lt;&gt;"",C372="Crédito"),EDATE(A372,PrazoBanco),"")</f>
        <v/>
      </c>
    </row>
    <row r="373" customFormat="false" ht="15" hidden="false" customHeight="false" outlineLevel="0" collapsed="false">
      <c r="A373" s="73"/>
      <c r="B373" s="41"/>
      <c r="C373" s="67"/>
      <c r="D373" s="70"/>
      <c r="E373" s="41"/>
      <c r="F373" s="74" t="str">
        <f aca="false">IF(AND(A373&lt;&gt;"",C373="Crédito"),EDATE(A373,PrazoBanco),"")</f>
        <v/>
      </c>
    </row>
    <row r="374" customFormat="false" ht="15" hidden="false" customHeight="false" outlineLevel="0" collapsed="false">
      <c r="A374" s="73"/>
      <c r="B374" s="41"/>
      <c r="C374" s="67"/>
      <c r="D374" s="70"/>
      <c r="E374" s="41"/>
      <c r="F374" s="74" t="str">
        <f aca="false">IF(AND(A374&lt;&gt;"",C374="Crédito"),EDATE(A374,PrazoBanco),"")</f>
        <v/>
      </c>
    </row>
    <row r="375" customFormat="false" ht="15" hidden="false" customHeight="false" outlineLevel="0" collapsed="false">
      <c r="A375" s="73"/>
      <c r="B375" s="41"/>
      <c r="C375" s="67"/>
      <c r="D375" s="70"/>
      <c r="E375" s="41"/>
      <c r="F375" s="74" t="str">
        <f aca="false">IF(AND(A375&lt;&gt;"",C375="Crédito"),EDATE(A375,PrazoBanco),"")</f>
        <v/>
      </c>
    </row>
    <row r="376" customFormat="false" ht="15" hidden="false" customHeight="false" outlineLevel="0" collapsed="false">
      <c r="A376" s="73"/>
      <c r="B376" s="41"/>
      <c r="C376" s="67"/>
      <c r="D376" s="70"/>
      <c r="E376" s="41"/>
      <c r="F376" s="74" t="str">
        <f aca="false">IF(AND(A376&lt;&gt;"",C376="Crédito"),EDATE(A376,PrazoBanco),"")</f>
        <v/>
      </c>
    </row>
    <row r="377" customFormat="false" ht="15" hidden="false" customHeight="false" outlineLevel="0" collapsed="false">
      <c r="A377" s="73"/>
      <c r="B377" s="41"/>
      <c r="C377" s="67"/>
      <c r="D377" s="70"/>
      <c r="E377" s="41"/>
      <c r="F377" s="74" t="str">
        <f aca="false">IF(AND(A377&lt;&gt;"",C377="Crédito"),EDATE(A377,PrazoBanco),"")</f>
        <v/>
      </c>
    </row>
    <row r="378" customFormat="false" ht="15" hidden="false" customHeight="false" outlineLevel="0" collapsed="false">
      <c r="A378" s="73"/>
      <c r="B378" s="41"/>
      <c r="C378" s="67"/>
      <c r="D378" s="70"/>
      <c r="E378" s="41"/>
      <c r="F378" s="74" t="str">
        <f aca="false">IF(AND(A378&lt;&gt;"",C378="Crédito"),EDATE(A378,PrazoBanco),"")</f>
        <v/>
      </c>
    </row>
    <row r="379" customFormat="false" ht="15" hidden="false" customHeight="false" outlineLevel="0" collapsed="false">
      <c r="A379" s="73"/>
      <c r="B379" s="41"/>
      <c r="C379" s="67"/>
      <c r="D379" s="70"/>
      <c r="E379" s="41"/>
      <c r="F379" s="74" t="str">
        <f aca="false">IF(AND(A379&lt;&gt;"",C379="Crédito"),EDATE(A379,PrazoBanco),"")</f>
        <v/>
      </c>
    </row>
    <row r="380" customFormat="false" ht="15" hidden="false" customHeight="false" outlineLevel="0" collapsed="false">
      <c r="A380" s="73"/>
      <c r="B380" s="41"/>
      <c r="C380" s="67"/>
      <c r="D380" s="70"/>
      <c r="E380" s="41"/>
      <c r="F380" s="74" t="str">
        <f aca="false">IF(AND(A380&lt;&gt;"",C380="Crédito"),EDATE(A380,PrazoBanco),"")</f>
        <v/>
      </c>
    </row>
    <row r="381" customFormat="false" ht="15" hidden="false" customHeight="false" outlineLevel="0" collapsed="false">
      <c r="A381" s="73"/>
      <c r="B381" s="41"/>
      <c r="C381" s="67"/>
      <c r="D381" s="70"/>
      <c r="E381" s="41"/>
      <c r="F381" s="74" t="str">
        <f aca="false">IF(AND(A381&lt;&gt;"",C381="Crédito"),EDATE(A381,PrazoBanco),"")</f>
        <v/>
      </c>
    </row>
    <row r="382" customFormat="false" ht="15" hidden="false" customHeight="false" outlineLevel="0" collapsed="false">
      <c r="A382" s="73"/>
      <c r="B382" s="41"/>
      <c r="C382" s="67"/>
      <c r="D382" s="70"/>
      <c r="E382" s="41"/>
      <c r="F382" s="74" t="str">
        <f aca="false">IF(AND(A382&lt;&gt;"",C382="Crédito"),EDATE(A382,PrazoBanco),"")</f>
        <v/>
      </c>
    </row>
    <row r="383" customFormat="false" ht="15" hidden="false" customHeight="false" outlineLevel="0" collapsed="false">
      <c r="A383" s="73"/>
      <c r="B383" s="41"/>
      <c r="C383" s="67"/>
      <c r="D383" s="70"/>
      <c r="E383" s="41"/>
      <c r="F383" s="74" t="str">
        <f aca="false">IF(AND(A383&lt;&gt;"",C383="Crédito"),EDATE(A383,PrazoBanco),"")</f>
        <v/>
      </c>
    </row>
    <row r="384" customFormat="false" ht="15" hidden="false" customHeight="false" outlineLevel="0" collapsed="false">
      <c r="A384" s="73"/>
      <c r="B384" s="41"/>
      <c r="C384" s="67"/>
      <c r="D384" s="70"/>
      <c r="E384" s="41"/>
      <c r="F384" s="74" t="str">
        <f aca="false">IF(AND(A384&lt;&gt;"",C384="Crédito"),EDATE(A384,PrazoBanco),"")</f>
        <v/>
      </c>
    </row>
    <row r="385" customFormat="false" ht="15" hidden="false" customHeight="false" outlineLevel="0" collapsed="false">
      <c r="A385" s="73"/>
      <c r="B385" s="41"/>
      <c r="C385" s="67"/>
      <c r="D385" s="70"/>
      <c r="E385" s="41"/>
      <c r="F385" s="74" t="str">
        <f aca="false">IF(AND(A385&lt;&gt;"",C385="Crédito"),EDATE(A385,PrazoBanco),"")</f>
        <v/>
      </c>
    </row>
    <row r="386" customFormat="false" ht="15" hidden="false" customHeight="false" outlineLevel="0" collapsed="false">
      <c r="A386" s="73"/>
      <c r="B386" s="41"/>
      <c r="C386" s="67"/>
      <c r="D386" s="70"/>
      <c r="E386" s="41"/>
      <c r="F386" s="74" t="str">
        <f aca="false">IF(AND(A386&lt;&gt;"",C386="Crédito"),EDATE(A386,PrazoBanco),"")</f>
        <v/>
      </c>
    </row>
    <row r="387" customFormat="false" ht="15" hidden="false" customHeight="false" outlineLevel="0" collapsed="false">
      <c r="A387" s="73"/>
      <c r="B387" s="41"/>
      <c r="C387" s="67"/>
      <c r="D387" s="70"/>
      <c r="E387" s="41"/>
      <c r="F387" s="74" t="str">
        <f aca="false">IF(AND(A387&lt;&gt;"",C387="Crédito"),EDATE(A387,PrazoBanco),"")</f>
        <v/>
      </c>
    </row>
    <row r="388" customFormat="false" ht="15" hidden="false" customHeight="false" outlineLevel="0" collapsed="false">
      <c r="A388" s="73"/>
      <c r="B388" s="41"/>
      <c r="C388" s="67"/>
      <c r="D388" s="70"/>
      <c r="E388" s="41"/>
      <c r="F388" s="74" t="str">
        <f aca="false">IF(AND(A388&lt;&gt;"",C388="Crédito"),EDATE(A388,PrazoBanco),"")</f>
        <v/>
      </c>
    </row>
    <row r="389" customFormat="false" ht="15" hidden="false" customHeight="false" outlineLevel="0" collapsed="false">
      <c r="A389" s="73"/>
      <c r="B389" s="41"/>
      <c r="C389" s="67"/>
      <c r="D389" s="70"/>
      <c r="E389" s="41"/>
      <c r="F389" s="74" t="str">
        <f aca="false">IF(AND(A389&lt;&gt;"",C389="Crédito"),EDATE(A389,PrazoBanco),"")</f>
        <v/>
      </c>
    </row>
    <row r="390" customFormat="false" ht="15" hidden="false" customHeight="false" outlineLevel="0" collapsed="false">
      <c r="A390" s="73"/>
      <c r="B390" s="41"/>
      <c r="C390" s="67"/>
      <c r="D390" s="70"/>
      <c r="E390" s="41"/>
      <c r="F390" s="74" t="str">
        <f aca="false">IF(AND(A390&lt;&gt;"",C390="Crédito"),EDATE(A390,PrazoBanco),"")</f>
        <v/>
      </c>
    </row>
    <row r="391" customFormat="false" ht="15" hidden="false" customHeight="false" outlineLevel="0" collapsed="false">
      <c r="A391" s="73"/>
      <c r="B391" s="41"/>
      <c r="C391" s="67"/>
      <c r="D391" s="70"/>
      <c r="E391" s="41"/>
      <c r="F391" s="74" t="str">
        <f aca="false">IF(AND(A391&lt;&gt;"",C391="Crédito"),EDATE(A391,PrazoBanco),"")</f>
        <v/>
      </c>
    </row>
    <row r="392" customFormat="false" ht="15" hidden="false" customHeight="false" outlineLevel="0" collapsed="false">
      <c r="A392" s="73"/>
      <c r="B392" s="41"/>
      <c r="C392" s="67"/>
      <c r="D392" s="70"/>
      <c r="E392" s="41"/>
      <c r="F392" s="74" t="str">
        <f aca="false">IF(AND(A392&lt;&gt;"",C392="Crédito"),EDATE(A392,PrazoBanco),"")</f>
        <v/>
      </c>
    </row>
    <row r="393" customFormat="false" ht="15" hidden="false" customHeight="false" outlineLevel="0" collapsed="false">
      <c r="A393" s="73"/>
      <c r="B393" s="41"/>
      <c r="C393" s="67"/>
      <c r="D393" s="70"/>
      <c r="E393" s="41"/>
      <c r="F393" s="74" t="str">
        <f aca="false">IF(AND(A393&lt;&gt;"",C393="Crédito"),EDATE(A393,PrazoBanco),"")</f>
        <v/>
      </c>
    </row>
    <row r="394" customFormat="false" ht="15" hidden="false" customHeight="false" outlineLevel="0" collapsed="false">
      <c r="A394" s="73"/>
      <c r="B394" s="41"/>
      <c r="C394" s="67"/>
      <c r="D394" s="70"/>
      <c r="E394" s="41"/>
      <c r="F394" s="74" t="str">
        <f aca="false">IF(AND(A394&lt;&gt;"",C394="Crédito"),EDATE(A394,PrazoBanco),"")</f>
        <v/>
      </c>
    </row>
    <row r="395" customFormat="false" ht="15" hidden="false" customHeight="false" outlineLevel="0" collapsed="false">
      <c r="A395" s="73"/>
      <c r="B395" s="41"/>
      <c r="C395" s="67"/>
      <c r="D395" s="70"/>
      <c r="E395" s="41"/>
      <c r="F395" s="74" t="str">
        <f aca="false">IF(AND(A395&lt;&gt;"",C395="Crédito"),EDATE(A395,PrazoBanco),"")</f>
        <v/>
      </c>
    </row>
    <row r="396" customFormat="false" ht="15" hidden="false" customHeight="false" outlineLevel="0" collapsed="false">
      <c r="A396" s="73"/>
      <c r="B396" s="41"/>
      <c r="C396" s="67"/>
      <c r="D396" s="70"/>
      <c r="E396" s="41"/>
      <c r="F396" s="74" t="str">
        <f aca="false">IF(AND(A396&lt;&gt;"",C396="Crédito"),EDATE(A396,PrazoBanco),"")</f>
        <v/>
      </c>
    </row>
    <row r="397" customFormat="false" ht="15" hidden="false" customHeight="false" outlineLevel="0" collapsed="false">
      <c r="A397" s="73"/>
      <c r="B397" s="41"/>
      <c r="C397" s="67"/>
      <c r="D397" s="70"/>
      <c r="E397" s="41"/>
      <c r="F397" s="74" t="str">
        <f aca="false">IF(AND(A397&lt;&gt;"",C397="Crédito"),EDATE(A397,PrazoBanco),"")</f>
        <v/>
      </c>
    </row>
    <row r="398" customFormat="false" ht="15" hidden="false" customHeight="false" outlineLevel="0" collapsed="false">
      <c r="A398" s="73"/>
      <c r="B398" s="41"/>
      <c r="C398" s="67"/>
      <c r="D398" s="70"/>
      <c r="E398" s="41"/>
      <c r="F398" s="74" t="str">
        <f aca="false">IF(AND(A398&lt;&gt;"",C398="Crédito"),EDATE(A398,PrazoBanco),"")</f>
        <v/>
      </c>
    </row>
    <row r="399" customFormat="false" ht="15" hidden="false" customHeight="false" outlineLevel="0" collapsed="false">
      <c r="A399" s="73"/>
      <c r="B399" s="41"/>
      <c r="C399" s="67"/>
      <c r="D399" s="70"/>
      <c r="E399" s="41"/>
      <c r="F399" s="74" t="str">
        <f aca="false">IF(AND(A399&lt;&gt;"",C399="Crédito"),EDATE(A399,PrazoBanco),"")</f>
        <v/>
      </c>
    </row>
    <row r="400" customFormat="false" ht="15" hidden="false" customHeight="false" outlineLevel="0" collapsed="false">
      <c r="A400" s="73"/>
      <c r="B400" s="41"/>
      <c r="C400" s="67"/>
      <c r="D400" s="70"/>
      <c r="E400" s="41"/>
      <c r="F400" s="74" t="str">
        <f aca="false">IF(AND(A400&lt;&gt;"",C400="Crédito"),EDATE(A400,PrazoBanco),"")</f>
        <v/>
      </c>
    </row>
    <row r="401" customFormat="false" ht="15" hidden="false" customHeight="false" outlineLevel="0" collapsed="false">
      <c r="A401" s="73"/>
      <c r="B401" s="41"/>
      <c r="C401" s="67"/>
      <c r="D401" s="70"/>
      <c r="E401" s="41"/>
      <c r="F401" s="74" t="str">
        <f aca="false">IF(AND(A401&lt;&gt;"",C401="Crédito"),EDATE(A401,PrazoBanco),"")</f>
        <v/>
      </c>
    </row>
    <row r="402" customFormat="false" ht="15" hidden="false" customHeight="false" outlineLevel="0" collapsed="false">
      <c r="A402" s="73"/>
      <c r="B402" s="41"/>
      <c r="C402" s="67"/>
      <c r="D402" s="70"/>
      <c r="E402" s="41"/>
      <c r="F402" s="74" t="str">
        <f aca="false">IF(AND(A402&lt;&gt;"",C402="Crédito"),EDATE(A402,PrazoBanco),"")</f>
        <v/>
      </c>
    </row>
    <row r="403" customFormat="false" ht="15" hidden="false" customHeight="false" outlineLevel="0" collapsed="false">
      <c r="A403" s="73"/>
      <c r="B403" s="41"/>
      <c r="C403" s="67"/>
      <c r="D403" s="70"/>
      <c r="E403" s="41"/>
      <c r="F403" s="74" t="str">
        <f aca="false">IF(AND(A403&lt;&gt;"",C403="Crédito"),EDATE(A403,PrazoBanco),"")</f>
        <v/>
      </c>
    </row>
    <row r="404" customFormat="false" ht="15" hidden="false" customHeight="false" outlineLevel="0" collapsed="false">
      <c r="A404" s="73"/>
      <c r="B404" s="41"/>
      <c r="C404" s="67"/>
      <c r="D404" s="70"/>
      <c r="E404" s="41"/>
      <c r="F404" s="74" t="str">
        <f aca="false">IF(AND(A404&lt;&gt;"",C404="Crédito"),EDATE(A404,PrazoBanco),"")</f>
        <v/>
      </c>
    </row>
    <row r="405" customFormat="false" ht="15" hidden="false" customHeight="false" outlineLevel="0" collapsed="false">
      <c r="A405" s="73"/>
      <c r="B405" s="41"/>
      <c r="C405" s="67"/>
      <c r="D405" s="70"/>
      <c r="E405" s="41"/>
      <c r="F405" s="74" t="str">
        <f aca="false">IF(AND(A405&lt;&gt;"",C405="Crédito"),EDATE(A405,PrazoBanco),"")</f>
        <v/>
      </c>
    </row>
    <row r="406" customFormat="false" ht="15" hidden="false" customHeight="false" outlineLevel="0" collapsed="false">
      <c r="A406" s="73"/>
      <c r="B406" s="41"/>
      <c r="C406" s="67"/>
      <c r="D406" s="70"/>
      <c r="E406" s="41"/>
      <c r="F406" s="74" t="str">
        <f aca="false">IF(AND(A406&lt;&gt;"",C406="Crédito"),EDATE(A406,PrazoBanco),"")</f>
        <v/>
      </c>
    </row>
    <row r="407" customFormat="false" ht="15" hidden="false" customHeight="false" outlineLevel="0" collapsed="false">
      <c r="A407" s="73"/>
      <c r="B407" s="41"/>
      <c r="C407" s="67"/>
      <c r="D407" s="70"/>
      <c r="E407" s="41"/>
      <c r="F407" s="74" t="str">
        <f aca="false">IF(AND(A407&lt;&gt;"",C407="Crédito"),EDATE(A407,PrazoBanco),"")</f>
        <v/>
      </c>
    </row>
    <row r="408" customFormat="false" ht="15" hidden="false" customHeight="false" outlineLevel="0" collapsed="false">
      <c r="A408" s="73"/>
      <c r="B408" s="41"/>
      <c r="C408" s="67"/>
      <c r="D408" s="70"/>
      <c r="E408" s="41"/>
      <c r="F408" s="74" t="str">
        <f aca="false">IF(AND(A408&lt;&gt;"",C408="Crédito"),EDATE(A408,PrazoBanco),"")</f>
        <v/>
      </c>
    </row>
    <row r="409" customFormat="false" ht="15" hidden="false" customHeight="false" outlineLevel="0" collapsed="false">
      <c r="A409" s="73"/>
      <c r="B409" s="41"/>
      <c r="C409" s="67"/>
      <c r="D409" s="70"/>
      <c r="E409" s="41"/>
      <c r="F409" s="74" t="str">
        <f aca="false">IF(AND(A409&lt;&gt;"",C409="Crédito"),EDATE(A409,PrazoBanco),"")</f>
        <v/>
      </c>
    </row>
    <row r="410" customFormat="false" ht="15" hidden="false" customHeight="false" outlineLevel="0" collapsed="false">
      <c r="A410" s="73"/>
      <c r="B410" s="41"/>
      <c r="C410" s="67"/>
      <c r="D410" s="70"/>
      <c r="E410" s="41"/>
      <c r="F410" s="74" t="str">
        <f aca="false">IF(AND(A410&lt;&gt;"",C410="Crédito"),EDATE(A410,PrazoBanco),"")</f>
        <v/>
      </c>
    </row>
    <row r="411" customFormat="false" ht="15" hidden="false" customHeight="false" outlineLevel="0" collapsed="false">
      <c r="A411" s="73"/>
      <c r="B411" s="41"/>
      <c r="C411" s="67"/>
      <c r="D411" s="70"/>
      <c r="E411" s="41"/>
      <c r="F411" s="74" t="str">
        <f aca="false">IF(AND(A411&lt;&gt;"",C411="Crédito"),EDATE(A411,PrazoBanco),"")</f>
        <v/>
      </c>
    </row>
    <row r="412" customFormat="false" ht="15" hidden="false" customHeight="false" outlineLevel="0" collapsed="false">
      <c r="A412" s="73"/>
      <c r="B412" s="41"/>
      <c r="C412" s="67"/>
      <c r="D412" s="70"/>
      <c r="E412" s="41"/>
      <c r="F412" s="74" t="str">
        <f aca="false">IF(AND(A412&lt;&gt;"",C412="Crédito"),EDATE(A412,PrazoBanco),"")</f>
        <v/>
      </c>
    </row>
    <row r="413" customFormat="false" ht="15" hidden="false" customHeight="false" outlineLevel="0" collapsed="false">
      <c r="A413" s="73"/>
      <c r="B413" s="41"/>
      <c r="C413" s="67"/>
      <c r="D413" s="70"/>
      <c r="E413" s="41"/>
      <c r="F413" s="74" t="str">
        <f aca="false">IF(AND(A413&lt;&gt;"",C413="Crédito"),EDATE(A413,PrazoBanco),"")</f>
        <v/>
      </c>
    </row>
    <row r="414" customFormat="false" ht="15" hidden="false" customHeight="false" outlineLevel="0" collapsed="false">
      <c r="A414" s="73"/>
      <c r="B414" s="41"/>
      <c r="C414" s="67"/>
      <c r="D414" s="70"/>
      <c r="E414" s="41"/>
      <c r="F414" s="74" t="str">
        <f aca="false">IF(AND(A414&lt;&gt;"",C414="Crédito"),EDATE(A414,PrazoBanco),"")</f>
        <v/>
      </c>
    </row>
    <row r="415" customFormat="false" ht="15" hidden="false" customHeight="false" outlineLevel="0" collapsed="false">
      <c r="A415" s="73"/>
      <c r="B415" s="41"/>
      <c r="C415" s="67"/>
      <c r="D415" s="70"/>
      <c r="E415" s="41"/>
      <c r="F415" s="74" t="str">
        <f aca="false">IF(AND(A415&lt;&gt;"",C415="Crédito"),EDATE(A415,PrazoBanco),"")</f>
        <v/>
      </c>
    </row>
    <row r="416" customFormat="false" ht="15" hidden="false" customHeight="false" outlineLevel="0" collapsed="false">
      <c r="A416" s="73"/>
      <c r="B416" s="41"/>
      <c r="C416" s="67"/>
      <c r="D416" s="70"/>
      <c r="E416" s="41"/>
      <c r="F416" s="74" t="str">
        <f aca="false">IF(AND(A416&lt;&gt;"",C416="Crédito"),EDATE(A416,PrazoBanco),"")</f>
        <v/>
      </c>
    </row>
    <row r="417" customFormat="false" ht="15" hidden="false" customHeight="false" outlineLevel="0" collapsed="false">
      <c r="A417" s="73"/>
      <c r="B417" s="41"/>
      <c r="C417" s="67"/>
      <c r="D417" s="70"/>
      <c r="E417" s="41"/>
      <c r="F417" s="74" t="str">
        <f aca="false">IF(AND(A417&lt;&gt;"",C417="Crédito"),EDATE(A417,PrazoBanco),"")</f>
        <v/>
      </c>
    </row>
    <row r="418" customFormat="false" ht="15" hidden="false" customHeight="false" outlineLevel="0" collapsed="false">
      <c r="A418" s="73"/>
      <c r="B418" s="41"/>
      <c r="C418" s="67"/>
      <c r="D418" s="70"/>
      <c r="E418" s="41"/>
      <c r="F418" s="74" t="str">
        <f aca="false">IF(AND(A418&lt;&gt;"",C418="Crédito"),EDATE(A418,PrazoBanco),"")</f>
        <v/>
      </c>
    </row>
    <row r="419" customFormat="false" ht="15" hidden="false" customHeight="false" outlineLevel="0" collapsed="false">
      <c r="A419" s="73"/>
      <c r="B419" s="41"/>
      <c r="C419" s="67"/>
      <c r="D419" s="70"/>
      <c r="E419" s="41"/>
      <c r="F419" s="74" t="str">
        <f aca="false">IF(AND(A419&lt;&gt;"",C419="Crédito"),EDATE(A419,PrazoBanco),"")</f>
        <v/>
      </c>
    </row>
    <row r="420" customFormat="false" ht="15" hidden="false" customHeight="false" outlineLevel="0" collapsed="false">
      <c r="A420" s="73"/>
      <c r="B420" s="41"/>
      <c r="C420" s="67"/>
      <c r="D420" s="70"/>
      <c r="E420" s="41"/>
      <c r="F420" s="74" t="str">
        <f aca="false">IF(AND(A420&lt;&gt;"",C420="Crédito"),EDATE(A420,PrazoBanco),"")</f>
        <v/>
      </c>
    </row>
    <row r="421" customFormat="false" ht="15" hidden="false" customHeight="false" outlineLevel="0" collapsed="false">
      <c r="A421" s="73"/>
      <c r="B421" s="41"/>
      <c r="C421" s="67"/>
      <c r="D421" s="70"/>
      <c r="E421" s="41"/>
      <c r="F421" s="74" t="str">
        <f aca="false">IF(AND(A421&lt;&gt;"",C421="Crédito"),EDATE(A421,PrazoBanco),"")</f>
        <v/>
      </c>
    </row>
    <row r="422" customFormat="false" ht="15" hidden="false" customHeight="false" outlineLevel="0" collapsed="false">
      <c r="A422" s="73"/>
      <c r="B422" s="41"/>
      <c r="C422" s="67"/>
      <c r="D422" s="70"/>
      <c r="E422" s="41"/>
      <c r="F422" s="74" t="str">
        <f aca="false">IF(AND(A422&lt;&gt;"",C422="Crédito"),EDATE(A422,PrazoBanco),"")</f>
        <v/>
      </c>
    </row>
    <row r="423" customFormat="false" ht="15" hidden="false" customHeight="false" outlineLevel="0" collapsed="false">
      <c r="A423" s="73"/>
      <c r="B423" s="41"/>
      <c r="C423" s="67"/>
      <c r="D423" s="70"/>
      <c r="E423" s="41"/>
      <c r="F423" s="74" t="str">
        <f aca="false">IF(AND(A423&lt;&gt;"",C423="Crédito"),EDATE(A423,PrazoBanco),"")</f>
        <v/>
      </c>
    </row>
    <row r="424" customFormat="false" ht="15" hidden="false" customHeight="false" outlineLevel="0" collapsed="false">
      <c r="A424" s="73"/>
      <c r="B424" s="41"/>
      <c r="C424" s="67"/>
      <c r="D424" s="70"/>
      <c r="E424" s="41"/>
      <c r="F424" s="74" t="str">
        <f aca="false">IF(AND(A424&lt;&gt;"",C424="Crédito"),EDATE(A424,PrazoBanco),"")</f>
        <v/>
      </c>
    </row>
    <row r="425" customFormat="false" ht="15" hidden="false" customHeight="false" outlineLevel="0" collapsed="false">
      <c r="A425" s="73"/>
      <c r="B425" s="41"/>
      <c r="C425" s="67"/>
      <c r="D425" s="70"/>
      <c r="E425" s="41"/>
      <c r="F425" s="74" t="str">
        <f aca="false">IF(AND(A425&lt;&gt;"",C425="Crédito"),EDATE(A425,PrazoBanco),"")</f>
        <v/>
      </c>
    </row>
    <row r="426" customFormat="false" ht="15" hidden="false" customHeight="false" outlineLevel="0" collapsed="false">
      <c r="A426" s="73"/>
      <c r="B426" s="41"/>
      <c r="C426" s="67"/>
      <c r="D426" s="70"/>
      <c r="E426" s="41"/>
      <c r="F426" s="74" t="str">
        <f aca="false">IF(AND(A426&lt;&gt;"",C426="Crédito"),EDATE(A426,PrazoBanco),"")</f>
        <v/>
      </c>
    </row>
    <row r="427" customFormat="false" ht="15" hidden="false" customHeight="false" outlineLevel="0" collapsed="false">
      <c r="A427" s="73"/>
      <c r="B427" s="41"/>
      <c r="C427" s="67"/>
      <c r="D427" s="70"/>
      <c r="E427" s="41"/>
      <c r="F427" s="74" t="str">
        <f aca="false">IF(AND(A427&lt;&gt;"",C427="Crédito"),EDATE(A427,PrazoBanco),"")</f>
        <v/>
      </c>
    </row>
    <row r="428" customFormat="false" ht="15" hidden="false" customHeight="false" outlineLevel="0" collapsed="false">
      <c r="A428" s="73"/>
      <c r="B428" s="41"/>
      <c r="C428" s="67"/>
      <c r="D428" s="70"/>
      <c r="E428" s="41"/>
      <c r="F428" s="74" t="str">
        <f aca="false">IF(AND(A428&lt;&gt;"",C428="Crédito"),EDATE(A428,PrazoBanco),"")</f>
        <v/>
      </c>
    </row>
    <row r="429" customFormat="false" ht="15" hidden="false" customHeight="false" outlineLevel="0" collapsed="false">
      <c r="A429" s="73"/>
      <c r="B429" s="41"/>
      <c r="C429" s="67"/>
      <c r="D429" s="70"/>
      <c r="E429" s="41"/>
      <c r="F429" s="74" t="str">
        <f aca="false">IF(AND(A429&lt;&gt;"",C429="Crédito"),EDATE(A429,PrazoBanco),"")</f>
        <v/>
      </c>
    </row>
    <row r="430" customFormat="false" ht="15" hidden="false" customHeight="false" outlineLevel="0" collapsed="false">
      <c r="A430" s="73"/>
      <c r="B430" s="41"/>
      <c r="C430" s="67"/>
      <c r="D430" s="70"/>
      <c r="E430" s="41"/>
      <c r="F430" s="74" t="str">
        <f aca="false">IF(AND(A430&lt;&gt;"",C430="Crédito"),EDATE(A430,PrazoBanco),"")</f>
        <v/>
      </c>
    </row>
    <row r="431" customFormat="false" ht="15" hidden="false" customHeight="false" outlineLevel="0" collapsed="false">
      <c r="A431" s="73"/>
      <c r="B431" s="41"/>
      <c r="C431" s="67"/>
      <c r="D431" s="70"/>
      <c r="E431" s="41"/>
      <c r="F431" s="74" t="str">
        <f aca="false">IF(AND(A431&lt;&gt;"",C431="Crédito"),EDATE(A431,PrazoBanco),"")</f>
        <v/>
      </c>
    </row>
    <row r="432" customFormat="false" ht="15" hidden="false" customHeight="false" outlineLevel="0" collapsed="false">
      <c r="A432" s="73"/>
      <c r="B432" s="41"/>
      <c r="C432" s="67"/>
      <c r="D432" s="70"/>
      <c r="E432" s="41"/>
      <c r="F432" s="74" t="str">
        <f aca="false">IF(AND(A432&lt;&gt;"",C432="Crédito"),EDATE(A432,PrazoBanco),"")</f>
        <v/>
      </c>
    </row>
    <row r="433" customFormat="false" ht="15" hidden="false" customHeight="false" outlineLevel="0" collapsed="false">
      <c r="A433" s="73"/>
      <c r="B433" s="41"/>
      <c r="C433" s="67"/>
      <c r="D433" s="70"/>
      <c r="E433" s="41"/>
      <c r="F433" s="74" t="str">
        <f aca="false">IF(AND(A433&lt;&gt;"",C433="Crédito"),EDATE(A433,PrazoBanco),"")</f>
        <v/>
      </c>
    </row>
    <row r="434" customFormat="false" ht="15" hidden="false" customHeight="false" outlineLevel="0" collapsed="false">
      <c r="A434" s="73"/>
      <c r="B434" s="41"/>
      <c r="C434" s="67"/>
      <c r="D434" s="70"/>
      <c r="E434" s="41"/>
      <c r="F434" s="74" t="str">
        <f aca="false">IF(AND(A434&lt;&gt;"",C434="Crédito"),EDATE(A434,PrazoBanco),"")</f>
        <v/>
      </c>
    </row>
    <row r="435" customFormat="false" ht="15" hidden="false" customHeight="false" outlineLevel="0" collapsed="false">
      <c r="A435" s="73"/>
      <c r="B435" s="41"/>
      <c r="C435" s="67"/>
      <c r="D435" s="70"/>
      <c r="E435" s="41"/>
      <c r="F435" s="74" t="str">
        <f aca="false">IF(AND(A435&lt;&gt;"",C435="Crédito"),EDATE(A435,PrazoBanco),"")</f>
        <v/>
      </c>
    </row>
    <row r="436" customFormat="false" ht="15" hidden="false" customHeight="false" outlineLevel="0" collapsed="false">
      <c r="A436" s="73"/>
      <c r="B436" s="41"/>
      <c r="C436" s="67"/>
      <c r="D436" s="70"/>
      <c r="E436" s="41"/>
      <c r="F436" s="74" t="str">
        <f aca="false">IF(AND(A436&lt;&gt;"",C436="Crédito"),EDATE(A436,PrazoBanco),"")</f>
        <v/>
      </c>
    </row>
    <row r="437" customFormat="false" ht="15" hidden="false" customHeight="false" outlineLevel="0" collapsed="false">
      <c r="A437" s="73"/>
      <c r="B437" s="41"/>
      <c r="C437" s="67"/>
      <c r="D437" s="70"/>
      <c r="E437" s="41"/>
      <c r="F437" s="74" t="str">
        <f aca="false">IF(AND(A437&lt;&gt;"",C437="Crédito"),EDATE(A437,PrazoBanco),"")</f>
        <v/>
      </c>
    </row>
    <row r="438" customFormat="false" ht="15" hidden="false" customHeight="false" outlineLevel="0" collapsed="false">
      <c r="A438" s="73"/>
      <c r="B438" s="41"/>
      <c r="C438" s="67"/>
      <c r="D438" s="70"/>
      <c r="E438" s="41"/>
      <c r="F438" s="74" t="str">
        <f aca="false">IF(AND(A438&lt;&gt;"",C438="Crédito"),EDATE(A438,PrazoBanco),"")</f>
        <v/>
      </c>
    </row>
    <row r="439" customFormat="false" ht="15" hidden="false" customHeight="false" outlineLevel="0" collapsed="false">
      <c r="A439" s="73"/>
      <c r="B439" s="41"/>
      <c r="C439" s="67"/>
      <c r="D439" s="70"/>
      <c r="E439" s="41"/>
      <c r="F439" s="74" t="str">
        <f aca="false">IF(AND(A439&lt;&gt;"",C439="Crédito"),EDATE(A439,PrazoBanco),"")</f>
        <v/>
      </c>
    </row>
    <row r="440" customFormat="false" ht="15" hidden="false" customHeight="false" outlineLevel="0" collapsed="false">
      <c r="A440" s="73"/>
      <c r="B440" s="41"/>
      <c r="C440" s="67"/>
      <c r="D440" s="70"/>
      <c r="E440" s="41"/>
      <c r="F440" s="74" t="str">
        <f aca="false">IF(AND(A440&lt;&gt;"",C440="Crédito"),EDATE(A440,PrazoBanco),"")</f>
        <v/>
      </c>
    </row>
    <row r="441" customFormat="false" ht="15" hidden="false" customHeight="false" outlineLevel="0" collapsed="false">
      <c r="A441" s="73"/>
      <c r="B441" s="41"/>
      <c r="C441" s="67"/>
      <c r="D441" s="70"/>
      <c r="E441" s="41"/>
      <c r="F441" s="74" t="str">
        <f aca="false">IF(AND(A441&lt;&gt;"",C441="Crédito"),EDATE(A441,PrazoBanco),"")</f>
        <v/>
      </c>
    </row>
    <row r="442" customFormat="false" ht="15" hidden="false" customHeight="false" outlineLevel="0" collapsed="false">
      <c r="A442" s="73"/>
      <c r="B442" s="41"/>
      <c r="C442" s="67"/>
      <c r="D442" s="70"/>
      <c r="E442" s="41"/>
      <c r="F442" s="74" t="str">
        <f aca="false">IF(AND(A442&lt;&gt;"",C442="Crédito"),EDATE(A442,PrazoBanco),"")</f>
        <v/>
      </c>
    </row>
    <row r="443" customFormat="false" ht="15" hidden="false" customHeight="false" outlineLevel="0" collapsed="false">
      <c r="A443" s="73"/>
      <c r="B443" s="41"/>
      <c r="C443" s="67"/>
      <c r="D443" s="70"/>
      <c r="E443" s="41"/>
      <c r="F443" s="74" t="str">
        <f aca="false">IF(AND(A443&lt;&gt;"",C443="Crédito"),EDATE(A443,PrazoBanco),"")</f>
        <v/>
      </c>
    </row>
    <row r="444" customFormat="false" ht="15" hidden="false" customHeight="false" outlineLevel="0" collapsed="false">
      <c r="A444" s="73"/>
      <c r="B444" s="41"/>
      <c r="C444" s="67"/>
      <c r="D444" s="70"/>
      <c r="E444" s="41"/>
      <c r="F444" s="74" t="str">
        <f aca="false">IF(AND(A444&lt;&gt;"",C444="Crédito"),EDATE(A444,PrazoBanco),"")</f>
        <v/>
      </c>
    </row>
    <row r="445" customFormat="false" ht="15" hidden="false" customHeight="false" outlineLevel="0" collapsed="false">
      <c r="A445" s="73"/>
      <c r="B445" s="41"/>
      <c r="C445" s="67"/>
      <c r="D445" s="70"/>
      <c r="E445" s="41"/>
      <c r="F445" s="74" t="str">
        <f aca="false">IF(AND(A445&lt;&gt;"",C445="Crédito"),EDATE(A445,PrazoBanco),"")</f>
        <v/>
      </c>
    </row>
    <row r="446" customFormat="false" ht="15" hidden="false" customHeight="false" outlineLevel="0" collapsed="false">
      <c r="A446" s="73"/>
      <c r="B446" s="41"/>
      <c r="C446" s="67"/>
      <c r="D446" s="70"/>
      <c r="E446" s="41"/>
      <c r="F446" s="74" t="str">
        <f aca="false">IF(AND(A446&lt;&gt;"",C446="Crédito"),EDATE(A446,PrazoBanco),"")</f>
        <v/>
      </c>
    </row>
    <row r="447" customFormat="false" ht="15" hidden="false" customHeight="false" outlineLevel="0" collapsed="false">
      <c r="A447" s="73"/>
      <c r="B447" s="41"/>
      <c r="C447" s="67"/>
      <c r="D447" s="70"/>
      <c r="E447" s="41"/>
      <c r="F447" s="74" t="str">
        <f aca="false">IF(AND(A447&lt;&gt;"",C447="Crédito"),EDATE(A447,PrazoBanco),"")</f>
        <v/>
      </c>
    </row>
    <row r="448" customFormat="false" ht="15" hidden="false" customHeight="false" outlineLevel="0" collapsed="false">
      <c r="A448" s="73"/>
      <c r="B448" s="41"/>
      <c r="C448" s="67"/>
      <c r="D448" s="70"/>
      <c r="E448" s="41"/>
      <c r="F448" s="74" t="str">
        <f aca="false">IF(AND(A448&lt;&gt;"",C448="Crédito"),EDATE(A448,PrazoBanco),"")</f>
        <v/>
      </c>
    </row>
    <row r="449" customFormat="false" ht="15" hidden="false" customHeight="false" outlineLevel="0" collapsed="false">
      <c r="A449" s="73"/>
      <c r="B449" s="41"/>
      <c r="C449" s="67"/>
      <c r="D449" s="70"/>
      <c r="E449" s="41"/>
      <c r="F449" s="74" t="str">
        <f aca="false">IF(AND(A449&lt;&gt;"",C449="Crédito"),EDATE(A449,PrazoBanco),"")</f>
        <v/>
      </c>
    </row>
    <row r="450" customFormat="false" ht="15" hidden="false" customHeight="false" outlineLevel="0" collapsed="false">
      <c r="A450" s="73"/>
      <c r="B450" s="41"/>
      <c r="C450" s="67"/>
      <c r="D450" s="70"/>
      <c r="E450" s="41"/>
      <c r="F450" s="74" t="str">
        <f aca="false">IF(AND(A450&lt;&gt;"",C450="Crédito"),EDATE(A450,PrazoBanco),"")</f>
        <v/>
      </c>
    </row>
    <row r="451" customFormat="false" ht="15" hidden="false" customHeight="false" outlineLevel="0" collapsed="false">
      <c r="A451" s="73"/>
      <c r="B451" s="41"/>
      <c r="C451" s="67"/>
      <c r="D451" s="70"/>
      <c r="E451" s="41"/>
      <c r="F451" s="74" t="str">
        <f aca="false">IF(AND(A451&lt;&gt;"",C451="Crédito"),EDATE(A451,PrazoBanco),"")</f>
        <v/>
      </c>
    </row>
    <row r="452" customFormat="false" ht="15" hidden="false" customHeight="false" outlineLevel="0" collapsed="false">
      <c r="A452" s="73"/>
      <c r="B452" s="41"/>
      <c r="C452" s="67"/>
      <c r="D452" s="70"/>
      <c r="E452" s="41"/>
      <c r="F452" s="74" t="str">
        <f aca="false">IF(AND(A452&lt;&gt;"",C452="Crédito"),EDATE(A452,PrazoBanco),"")</f>
        <v/>
      </c>
    </row>
    <row r="453" customFormat="false" ht="15" hidden="false" customHeight="false" outlineLevel="0" collapsed="false">
      <c r="A453" s="73"/>
      <c r="B453" s="41"/>
      <c r="C453" s="67"/>
      <c r="D453" s="70"/>
      <c r="E453" s="41"/>
      <c r="F453" s="74" t="str">
        <f aca="false">IF(AND(A453&lt;&gt;"",C453="Crédito"),EDATE(A453,PrazoBanco),"")</f>
        <v/>
      </c>
    </row>
    <row r="454" customFormat="false" ht="15" hidden="false" customHeight="false" outlineLevel="0" collapsed="false">
      <c r="A454" s="73"/>
      <c r="B454" s="41"/>
      <c r="C454" s="67"/>
      <c r="D454" s="70"/>
      <c r="E454" s="41"/>
      <c r="F454" s="74" t="str">
        <f aca="false">IF(AND(A454&lt;&gt;"",C454="Crédito"),EDATE(A454,PrazoBanco),"")</f>
        <v/>
      </c>
    </row>
    <row r="455" customFormat="false" ht="15" hidden="false" customHeight="false" outlineLevel="0" collapsed="false">
      <c r="A455" s="73"/>
      <c r="B455" s="41"/>
      <c r="C455" s="67"/>
      <c r="D455" s="70"/>
      <c r="E455" s="41"/>
      <c r="F455" s="74" t="str">
        <f aca="false">IF(AND(A455&lt;&gt;"",C455="Crédito"),EDATE(A455,PrazoBanco),"")</f>
        <v/>
      </c>
    </row>
    <row r="456" customFormat="false" ht="15" hidden="false" customHeight="false" outlineLevel="0" collapsed="false">
      <c r="A456" s="73"/>
      <c r="B456" s="41"/>
      <c r="C456" s="67"/>
      <c r="D456" s="70"/>
      <c r="E456" s="41"/>
      <c r="F456" s="74" t="str">
        <f aca="false">IF(AND(A456&lt;&gt;"",C456="Crédito"),EDATE(A456,PrazoBanco),"")</f>
        <v/>
      </c>
    </row>
    <row r="457" customFormat="false" ht="15" hidden="false" customHeight="false" outlineLevel="0" collapsed="false">
      <c r="A457" s="73"/>
      <c r="B457" s="41"/>
      <c r="C457" s="67"/>
      <c r="D457" s="70"/>
      <c r="E457" s="41"/>
      <c r="F457" s="74" t="str">
        <f aca="false">IF(AND(A457&lt;&gt;"",C457="Crédito"),EDATE(A457,PrazoBanco),"")</f>
        <v/>
      </c>
    </row>
    <row r="458" customFormat="false" ht="15" hidden="false" customHeight="false" outlineLevel="0" collapsed="false">
      <c r="A458" s="73"/>
      <c r="B458" s="41"/>
      <c r="C458" s="67"/>
      <c r="D458" s="70"/>
      <c r="E458" s="41"/>
      <c r="F458" s="74" t="str">
        <f aca="false">IF(AND(A458&lt;&gt;"",C458="Crédito"),EDATE(A458,PrazoBanco),"")</f>
        <v/>
      </c>
    </row>
    <row r="459" customFormat="false" ht="15" hidden="false" customHeight="false" outlineLevel="0" collapsed="false">
      <c r="A459" s="73"/>
      <c r="B459" s="41"/>
      <c r="C459" s="67"/>
      <c r="D459" s="70"/>
      <c r="E459" s="41"/>
      <c r="F459" s="74" t="str">
        <f aca="false">IF(AND(A459&lt;&gt;"",C459="Crédito"),EDATE(A459,PrazoBanco),"")</f>
        <v/>
      </c>
    </row>
    <row r="460" customFormat="false" ht="15" hidden="false" customHeight="false" outlineLevel="0" collapsed="false">
      <c r="A460" s="73"/>
      <c r="B460" s="41"/>
      <c r="C460" s="67"/>
      <c r="D460" s="70"/>
      <c r="E460" s="41"/>
      <c r="F460" s="74" t="str">
        <f aca="false">IF(AND(A460&lt;&gt;"",C460="Crédito"),EDATE(A460,PrazoBanco),"")</f>
        <v/>
      </c>
    </row>
    <row r="461" customFormat="false" ht="15" hidden="false" customHeight="false" outlineLevel="0" collapsed="false">
      <c r="A461" s="73"/>
      <c r="B461" s="41"/>
      <c r="C461" s="67"/>
      <c r="D461" s="70"/>
      <c r="E461" s="41"/>
      <c r="F461" s="74" t="str">
        <f aca="false">IF(AND(A461&lt;&gt;"",C461="Crédito"),EDATE(A461,PrazoBanco),"")</f>
        <v/>
      </c>
    </row>
    <row r="462" customFormat="false" ht="15" hidden="false" customHeight="false" outlineLevel="0" collapsed="false">
      <c r="A462" s="73"/>
      <c r="B462" s="41"/>
      <c r="C462" s="67"/>
      <c r="D462" s="70"/>
      <c r="E462" s="41"/>
      <c r="F462" s="74" t="str">
        <f aca="false">IF(AND(A462&lt;&gt;"",C462="Crédito"),EDATE(A462,PrazoBanco),"")</f>
        <v/>
      </c>
    </row>
    <row r="463" customFormat="false" ht="15" hidden="false" customHeight="false" outlineLevel="0" collapsed="false">
      <c r="A463" s="73"/>
      <c r="B463" s="41"/>
      <c r="C463" s="67"/>
      <c r="D463" s="70"/>
      <c r="E463" s="41"/>
      <c r="F463" s="74" t="str">
        <f aca="false">IF(AND(A463&lt;&gt;"",C463="Crédito"),EDATE(A463,PrazoBanco),"")</f>
        <v/>
      </c>
    </row>
    <row r="464" customFormat="false" ht="15" hidden="false" customHeight="false" outlineLevel="0" collapsed="false">
      <c r="A464" s="73"/>
      <c r="B464" s="41"/>
      <c r="C464" s="67"/>
      <c r="D464" s="70"/>
      <c r="E464" s="41"/>
      <c r="F464" s="74" t="str">
        <f aca="false">IF(AND(A464&lt;&gt;"",C464="Crédito"),EDATE(A464,PrazoBanco),"")</f>
        <v/>
      </c>
    </row>
    <row r="465" customFormat="false" ht="15" hidden="false" customHeight="false" outlineLevel="0" collapsed="false">
      <c r="A465" s="73"/>
      <c r="B465" s="41"/>
      <c r="C465" s="67"/>
      <c r="D465" s="70"/>
      <c r="E465" s="41"/>
      <c r="F465" s="74" t="str">
        <f aca="false">IF(AND(A465&lt;&gt;"",C465="Crédito"),EDATE(A465,PrazoBanco),"")</f>
        <v/>
      </c>
    </row>
    <row r="466" customFormat="false" ht="15" hidden="false" customHeight="false" outlineLevel="0" collapsed="false">
      <c r="A466" s="73"/>
      <c r="B466" s="41"/>
      <c r="C466" s="67"/>
      <c r="D466" s="70"/>
      <c r="E466" s="41"/>
      <c r="F466" s="74" t="str">
        <f aca="false">IF(AND(A466&lt;&gt;"",C466="Crédito"),EDATE(A466,PrazoBanco),"")</f>
        <v/>
      </c>
    </row>
    <row r="467" customFormat="false" ht="15" hidden="false" customHeight="false" outlineLevel="0" collapsed="false">
      <c r="A467" s="73"/>
      <c r="B467" s="41"/>
      <c r="C467" s="67"/>
      <c r="D467" s="70"/>
      <c r="E467" s="41"/>
      <c r="F467" s="74" t="str">
        <f aca="false">IF(AND(A467&lt;&gt;"",C467="Crédito"),EDATE(A467,PrazoBanco),"")</f>
        <v/>
      </c>
    </row>
    <row r="468" customFormat="false" ht="15" hidden="false" customHeight="false" outlineLevel="0" collapsed="false">
      <c r="A468" s="73"/>
      <c r="B468" s="41"/>
      <c r="C468" s="67"/>
      <c r="D468" s="70"/>
      <c r="E468" s="41"/>
      <c r="F468" s="74" t="str">
        <f aca="false">IF(AND(A468&lt;&gt;"",C468="Crédito"),EDATE(A468,PrazoBanco),"")</f>
        <v/>
      </c>
    </row>
    <row r="469" customFormat="false" ht="15" hidden="false" customHeight="false" outlineLevel="0" collapsed="false">
      <c r="A469" s="73"/>
      <c r="B469" s="41"/>
      <c r="C469" s="67"/>
      <c r="D469" s="70"/>
      <c r="E469" s="41"/>
      <c r="F469" s="74" t="str">
        <f aca="false">IF(AND(A469&lt;&gt;"",C469="Crédito"),EDATE(A469,PrazoBanco),"")</f>
        <v/>
      </c>
    </row>
    <row r="470" customFormat="false" ht="15" hidden="false" customHeight="false" outlineLevel="0" collapsed="false">
      <c r="A470" s="73"/>
      <c r="B470" s="41"/>
      <c r="C470" s="67"/>
      <c r="D470" s="70"/>
      <c r="E470" s="41"/>
      <c r="F470" s="74" t="str">
        <f aca="false">IF(AND(A470&lt;&gt;"",C470="Crédito"),EDATE(A470,PrazoBanco),"")</f>
        <v/>
      </c>
    </row>
    <row r="471" customFormat="false" ht="15" hidden="false" customHeight="false" outlineLevel="0" collapsed="false">
      <c r="A471" s="73"/>
      <c r="B471" s="41"/>
      <c r="C471" s="67"/>
      <c r="D471" s="70"/>
      <c r="E471" s="41"/>
      <c r="F471" s="74" t="str">
        <f aca="false">IF(AND(A471&lt;&gt;"",C471="Crédito"),EDATE(A471,PrazoBanco),"")</f>
        <v/>
      </c>
    </row>
    <row r="472" customFormat="false" ht="15" hidden="false" customHeight="false" outlineLevel="0" collapsed="false">
      <c r="A472" s="73"/>
      <c r="B472" s="41"/>
      <c r="C472" s="67"/>
      <c r="D472" s="70"/>
      <c r="E472" s="41"/>
      <c r="F472" s="74" t="str">
        <f aca="false">IF(AND(A472&lt;&gt;"",C472="Crédito"),EDATE(A472,PrazoBanco),"")</f>
        <v/>
      </c>
    </row>
    <row r="473" customFormat="false" ht="15" hidden="false" customHeight="false" outlineLevel="0" collapsed="false">
      <c r="A473" s="73"/>
      <c r="B473" s="41"/>
      <c r="C473" s="67"/>
      <c r="D473" s="70"/>
      <c r="E473" s="41"/>
      <c r="F473" s="74" t="str">
        <f aca="false">IF(AND(A473&lt;&gt;"",C473="Crédito"),EDATE(A473,PrazoBanco),"")</f>
        <v/>
      </c>
    </row>
    <row r="474" customFormat="false" ht="15" hidden="false" customHeight="false" outlineLevel="0" collapsed="false">
      <c r="A474" s="73"/>
      <c r="B474" s="41"/>
      <c r="C474" s="67"/>
      <c r="D474" s="70"/>
      <c r="E474" s="41"/>
      <c r="F474" s="74" t="str">
        <f aca="false">IF(AND(A474&lt;&gt;"",C474="Crédito"),EDATE(A474,PrazoBanco),"")</f>
        <v/>
      </c>
    </row>
    <row r="475" customFormat="false" ht="15" hidden="false" customHeight="false" outlineLevel="0" collapsed="false">
      <c r="A475" s="73"/>
      <c r="B475" s="41"/>
      <c r="C475" s="67"/>
      <c r="D475" s="70"/>
      <c r="E475" s="41"/>
      <c r="F475" s="74" t="str">
        <f aca="false">IF(AND(A475&lt;&gt;"",C475="Crédito"),EDATE(A475,PrazoBanco),"")</f>
        <v/>
      </c>
    </row>
    <row r="476" customFormat="false" ht="15" hidden="false" customHeight="false" outlineLevel="0" collapsed="false">
      <c r="A476" s="73"/>
      <c r="B476" s="41"/>
      <c r="C476" s="67"/>
      <c r="D476" s="70"/>
      <c r="E476" s="41"/>
      <c r="F476" s="74" t="str">
        <f aca="false">IF(AND(A476&lt;&gt;"",C476="Crédito"),EDATE(A476,PrazoBanco),"")</f>
        <v/>
      </c>
    </row>
    <row r="477" customFormat="false" ht="15" hidden="false" customHeight="false" outlineLevel="0" collapsed="false">
      <c r="A477" s="73"/>
      <c r="B477" s="41"/>
      <c r="C477" s="67"/>
      <c r="D477" s="70"/>
      <c r="E477" s="41"/>
      <c r="F477" s="74" t="str">
        <f aca="false">IF(AND(A477&lt;&gt;"",C477="Crédito"),EDATE(A477,PrazoBanco),"")</f>
        <v/>
      </c>
    </row>
    <row r="478" customFormat="false" ht="15" hidden="false" customHeight="false" outlineLevel="0" collapsed="false">
      <c r="A478" s="73"/>
      <c r="B478" s="41"/>
      <c r="C478" s="67"/>
      <c r="D478" s="70"/>
      <c r="E478" s="41"/>
      <c r="F478" s="74" t="str">
        <f aca="false">IF(AND(A478&lt;&gt;"",C478="Crédito"),EDATE(A478,PrazoBanco),"")</f>
        <v/>
      </c>
    </row>
    <row r="479" customFormat="false" ht="15" hidden="false" customHeight="false" outlineLevel="0" collapsed="false">
      <c r="A479" s="73"/>
      <c r="B479" s="41"/>
      <c r="C479" s="67"/>
      <c r="D479" s="70"/>
      <c r="E479" s="41"/>
      <c r="F479" s="74" t="str">
        <f aca="false">IF(AND(A479&lt;&gt;"",C479="Crédito"),EDATE(A479,PrazoBanco),"")</f>
        <v/>
      </c>
    </row>
    <row r="480" customFormat="false" ht="15" hidden="false" customHeight="false" outlineLevel="0" collapsed="false">
      <c r="A480" s="73"/>
      <c r="B480" s="41"/>
      <c r="C480" s="67"/>
      <c r="D480" s="70"/>
      <c r="E480" s="41"/>
      <c r="F480" s="74" t="str">
        <f aca="false">IF(AND(A480&lt;&gt;"",C480="Crédito"),EDATE(A480,PrazoBanco),"")</f>
        <v/>
      </c>
    </row>
    <row r="481" customFormat="false" ht="15" hidden="false" customHeight="false" outlineLevel="0" collapsed="false">
      <c r="A481" s="73"/>
      <c r="B481" s="41"/>
      <c r="C481" s="67"/>
      <c r="D481" s="70"/>
      <c r="E481" s="41"/>
      <c r="F481" s="74" t="str">
        <f aca="false">IF(AND(A481&lt;&gt;"",C481="Crédito"),EDATE(A481,PrazoBanco),"")</f>
        <v/>
      </c>
    </row>
    <row r="482" customFormat="false" ht="15" hidden="false" customHeight="false" outlineLevel="0" collapsed="false">
      <c r="A482" s="73"/>
      <c r="B482" s="41"/>
      <c r="C482" s="67"/>
      <c r="D482" s="70"/>
      <c r="E482" s="41"/>
      <c r="F482" s="74" t="str">
        <f aca="false">IF(AND(A482&lt;&gt;"",C482="Crédito"),EDATE(A482,PrazoBanco),"")</f>
        <v/>
      </c>
    </row>
    <row r="483" customFormat="false" ht="15" hidden="false" customHeight="false" outlineLevel="0" collapsed="false">
      <c r="A483" s="73"/>
      <c r="B483" s="41"/>
      <c r="C483" s="67"/>
      <c r="D483" s="70"/>
      <c r="E483" s="41"/>
      <c r="F483" s="74" t="str">
        <f aca="false">IF(AND(A483&lt;&gt;"",C483="Crédito"),EDATE(A483,PrazoBanco),"")</f>
        <v/>
      </c>
    </row>
    <row r="484" customFormat="false" ht="15" hidden="false" customHeight="false" outlineLevel="0" collapsed="false">
      <c r="A484" s="73"/>
      <c r="B484" s="41"/>
      <c r="C484" s="67"/>
      <c r="D484" s="70"/>
      <c r="E484" s="41"/>
      <c r="F484" s="74" t="str">
        <f aca="false">IF(AND(A484&lt;&gt;"",C484="Crédito"),EDATE(A484,PrazoBanco),"")</f>
        <v/>
      </c>
    </row>
    <row r="485" customFormat="false" ht="15" hidden="false" customHeight="false" outlineLevel="0" collapsed="false">
      <c r="A485" s="73"/>
      <c r="B485" s="41"/>
      <c r="C485" s="67"/>
      <c r="D485" s="70"/>
      <c r="E485" s="41"/>
      <c r="F485" s="74" t="str">
        <f aca="false">IF(AND(A485&lt;&gt;"",C485="Crédito"),EDATE(A485,PrazoBanco),"")</f>
        <v/>
      </c>
    </row>
    <row r="486" customFormat="false" ht="15" hidden="false" customHeight="false" outlineLevel="0" collapsed="false">
      <c r="A486" s="73"/>
      <c r="B486" s="41"/>
      <c r="C486" s="67"/>
      <c r="D486" s="70"/>
      <c r="E486" s="41"/>
      <c r="F486" s="74" t="str">
        <f aca="false">IF(AND(A486&lt;&gt;"",C486="Crédito"),EDATE(A486,PrazoBanco),"")</f>
        <v/>
      </c>
    </row>
    <row r="487" customFormat="false" ht="15" hidden="false" customHeight="false" outlineLevel="0" collapsed="false">
      <c r="A487" s="73"/>
      <c r="B487" s="41"/>
      <c r="C487" s="67"/>
      <c r="D487" s="70"/>
      <c r="E487" s="41"/>
      <c r="F487" s="74" t="str">
        <f aca="false">IF(AND(A487&lt;&gt;"",C487="Crédito"),EDATE(A487,PrazoBanco),"")</f>
        <v/>
      </c>
    </row>
    <row r="488" customFormat="false" ht="15" hidden="false" customHeight="false" outlineLevel="0" collapsed="false">
      <c r="A488" s="73"/>
      <c r="B488" s="41"/>
      <c r="C488" s="67"/>
      <c r="D488" s="70"/>
      <c r="E488" s="41"/>
      <c r="F488" s="74" t="str">
        <f aca="false">IF(AND(A488&lt;&gt;"",C488="Crédito"),EDATE(A488,PrazoBanco),"")</f>
        <v/>
      </c>
    </row>
    <row r="489" customFormat="false" ht="15" hidden="false" customHeight="false" outlineLevel="0" collapsed="false">
      <c r="A489" s="73"/>
      <c r="B489" s="41"/>
      <c r="C489" s="67"/>
      <c r="D489" s="70"/>
      <c r="E489" s="41"/>
      <c r="F489" s="74" t="str">
        <f aca="false">IF(AND(A489&lt;&gt;"",C489="Crédito"),EDATE(A489,PrazoBanco),"")</f>
        <v/>
      </c>
    </row>
    <row r="490" customFormat="false" ht="15" hidden="false" customHeight="false" outlineLevel="0" collapsed="false">
      <c r="A490" s="73"/>
      <c r="B490" s="41"/>
      <c r="C490" s="67"/>
      <c r="D490" s="70"/>
      <c r="E490" s="41"/>
      <c r="F490" s="74" t="str">
        <f aca="false">IF(AND(A490&lt;&gt;"",C490="Crédito"),EDATE(A490,PrazoBanco),"")</f>
        <v/>
      </c>
    </row>
    <row r="491" customFormat="false" ht="15" hidden="false" customHeight="false" outlineLevel="0" collapsed="false">
      <c r="A491" s="73"/>
      <c r="B491" s="41"/>
      <c r="C491" s="67"/>
      <c r="D491" s="70"/>
      <c r="E491" s="41"/>
      <c r="F491" s="74" t="str">
        <f aca="false">IF(AND(A491&lt;&gt;"",C491="Crédito"),EDATE(A491,PrazoBanco),"")</f>
        <v/>
      </c>
    </row>
    <row r="492" customFormat="false" ht="15" hidden="false" customHeight="false" outlineLevel="0" collapsed="false">
      <c r="A492" s="73"/>
      <c r="B492" s="41"/>
      <c r="C492" s="67"/>
      <c r="D492" s="70"/>
      <c r="E492" s="41"/>
      <c r="F492" s="74" t="str">
        <f aca="false">IF(AND(A492&lt;&gt;"",C492="Crédito"),EDATE(A492,PrazoBanco),"")</f>
        <v/>
      </c>
    </row>
    <row r="493" customFormat="false" ht="15" hidden="false" customHeight="false" outlineLevel="0" collapsed="false">
      <c r="A493" s="73"/>
      <c r="B493" s="41"/>
      <c r="C493" s="67"/>
      <c r="D493" s="70"/>
      <c r="E493" s="41"/>
      <c r="F493" s="74" t="str">
        <f aca="false">IF(AND(A493&lt;&gt;"",C493="Crédito"),EDATE(A493,PrazoBanco),"")</f>
        <v/>
      </c>
    </row>
    <row r="494" customFormat="false" ht="15" hidden="false" customHeight="false" outlineLevel="0" collapsed="false">
      <c r="A494" s="73"/>
      <c r="B494" s="41"/>
      <c r="C494" s="67"/>
      <c r="D494" s="70"/>
      <c r="E494" s="41"/>
      <c r="F494" s="74" t="str">
        <f aca="false">IF(AND(A494&lt;&gt;"",C494="Crédito"),EDATE(A494,PrazoBanco),"")</f>
        <v/>
      </c>
    </row>
    <row r="495" customFormat="false" ht="15" hidden="false" customHeight="false" outlineLevel="0" collapsed="false">
      <c r="A495" s="73"/>
      <c r="B495" s="41"/>
      <c r="C495" s="67"/>
      <c r="D495" s="70"/>
      <c r="E495" s="41"/>
      <c r="F495" s="74" t="str">
        <f aca="false">IF(AND(A495&lt;&gt;"",C495="Crédito"),EDATE(A495,PrazoBanco),"")</f>
        <v/>
      </c>
    </row>
    <row r="496" customFormat="false" ht="15" hidden="false" customHeight="false" outlineLevel="0" collapsed="false">
      <c r="A496" s="73"/>
      <c r="B496" s="41"/>
      <c r="C496" s="67"/>
      <c r="D496" s="70"/>
      <c r="E496" s="41"/>
      <c r="F496" s="74" t="str">
        <f aca="false">IF(AND(A496&lt;&gt;"",C496="Crédito"),EDATE(A496,PrazoBanco),"")</f>
        <v/>
      </c>
    </row>
    <row r="497" customFormat="false" ht="15" hidden="false" customHeight="false" outlineLevel="0" collapsed="false">
      <c r="A497" s="73"/>
      <c r="B497" s="41"/>
      <c r="C497" s="67"/>
      <c r="D497" s="70"/>
      <c r="E497" s="41"/>
      <c r="F497" s="74" t="str">
        <f aca="false">IF(AND(A497&lt;&gt;"",C497="Crédito"),EDATE(A497,PrazoBanco),"")</f>
        <v/>
      </c>
    </row>
    <row r="498" customFormat="false" ht="15" hidden="false" customHeight="false" outlineLevel="0" collapsed="false">
      <c r="A498" s="73"/>
      <c r="B498" s="41"/>
      <c r="C498" s="67"/>
      <c r="D498" s="70"/>
      <c r="E498" s="41"/>
      <c r="F498" s="74" t="str">
        <f aca="false">IF(AND(A498&lt;&gt;"",C498="Crédito"),EDATE(A498,PrazoBanco),"")</f>
        <v/>
      </c>
    </row>
    <row r="499" customFormat="false" ht="15" hidden="false" customHeight="false" outlineLevel="0" collapsed="false">
      <c r="A499" s="73"/>
      <c r="B499" s="41"/>
      <c r="C499" s="67"/>
      <c r="D499" s="70"/>
      <c r="E499" s="41"/>
      <c r="F499" s="74" t="str">
        <f aca="false">IF(AND(A499&lt;&gt;"",C499="Crédito"),EDATE(A499,PrazoBanco),"")</f>
        <v/>
      </c>
    </row>
    <row r="500" customFormat="false" ht="15" hidden="false" customHeight="false" outlineLevel="0" collapsed="false">
      <c r="A500" s="73"/>
      <c r="B500" s="41"/>
      <c r="C500" s="67"/>
      <c r="D500" s="70"/>
      <c r="E500" s="41"/>
      <c r="F500" s="74" t="str">
        <f aca="false">IF(AND(A500&lt;&gt;"",C500="Crédito"),EDATE(A500,PrazoBanco),"")</f>
        <v/>
      </c>
    </row>
    <row r="501" customFormat="false" ht="15" hidden="false" customHeight="false" outlineLevel="0" collapsed="false">
      <c r="A501" s="73"/>
      <c r="B501" s="41"/>
      <c r="C501" s="67"/>
      <c r="D501" s="70"/>
      <c r="E501" s="41"/>
      <c r="F501" s="74" t="str">
        <f aca="false">IF(AND(A501&lt;&gt;"",C501="Crédito"),EDATE(A501,PrazoBanco),"")</f>
        <v/>
      </c>
    </row>
    <row r="502" customFormat="false" ht="15" hidden="false" customHeight="false" outlineLevel="0" collapsed="false">
      <c r="A502" s="73"/>
      <c r="B502" s="41"/>
      <c r="C502" s="67"/>
      <c r="D502" s="70"/>
      <c r="E502" s="41"/>
      <c r="F502" s="74" t="str">
        <f aca="false">IF(AND(A502&lt;&gt;"",C502="Crédito"),EDATE(A502,PrazoBanco),"")</f>
        <v/>
      </c>
    </row>
    <row r="503" customFormat="false" ht="15" hidden="false" customHeight="false" outlineLevel="0" collapsed="false">
      <c r="A503" s="73"/>
      <c r="B503" s="41"/>
      <c r="C503" s="67"/>
      <c r="D503" s="70"/>
      <c r="E503" s="41"/>
      <c r="F503" s="74" t="str">
        <f aca="false">IF(AND(A503&lt;&gt;"",C503="Crédito"),EDATE(A503,PrazoBanco),"")</f>
        <v/>
      </c>
    </row>
    <row r="504" customFormat="false" ht="15" hidden="false" customHeight="false" outlineLevel="0" collapsed="false">
      <c r="A504" s="73"/>
      <c r="B504" s="41"/>
      <c r="C504" s="67"/>
      <c r="D504" s="70"/>
      <c r="E504" s="41"/>
      <c r="F504" s="74" t="str">
        <f aca="false">IF(AND(A504&lt;&gt;"",C504="Crédito"),EDATE(A504,PrazoBanco),"")</f>
        <v/>
      </c>
    </row>
  </sheetData>
  <mergeCells count="5">
    <mergeCell ref="A1:P1"/>
    <mergeCell ref="A2:P2"/>
    <mergeCell ref="A3:F3"/>
    <mergeCell ref="H3:P3"/>
    <mergeCell ref="H56:P60"/>
  </mergeCells>
  <conditionalFormatting sqref="P5:P54">
    <cfRule type="expression" priority="2" aboveAverage="0" equalAverage="0" bottom="0" percent="0" rank="0" text="" dxfId="3">
      <formula>LEFT($P5,5)="Horas"</formula>
    </cfRule>
    <cfRule type="expression" priority="3" aboveAverage="0" equalAverage="0" bottom="0" percent="0" rank="0" text="" dxfId="4">
      <formula>LEFT($P5,5)="Compe"</formula>
    </cfRule>
    <cfRule type="expression" priority="4" aboveAverage="0" equalAverage="0" bottom="0" percent="0" rank="0" text="" dxfId="5">
      <formula>$P5="Em dia"</formula>
    </cfRule>
  </conditionalFormatting>
  <dataValidations count="2">
    <dataValidation allowBlank="true" error="Digite as horas no formato 12:30 (horas:minutos)." errorStyle="stop" errorTitle="Valor inválido" operator="between" showDropDown="false" showErrorMessage="true" showInputMessage="false" sqref="D5:D504" type="decimal">
      <formula1>0</formula1>
      <formula2>999</formula2>
    </dataValidation>
    <dataValidation allowBlank="true" error="Escolha uma opção da lista." errorStyle="stop" errorTitle="Opção inválida" operator="between" showDropDown="false" showErrorMessage="true" showInputMessage="false" sqref="C5:C504" type="list">
      <formula1>"Crédito,Débito"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2026-10-07T17:09:16Z</dcterms:created>
  <dc:creator>openpyxl</dc:creator>
  <dc:description/>
  <dc:language>en-US</dc:language>
  <cp:lastModifiedBy/>
  <dcterms:modified xsi:type="dcterms:W3CDTF">2026-10-07T17:09:16Z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